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de 1 Results" sheetId="1" state="visible" r:id="rId2"/>
    <sheet name="Grade 2 Results" sheetId="2" state="visible" r:id="rId3"/>
    <sheet name="Sheet7" sheetId="3" state="visible" r:id="rId4"/>
    <sheet name="Grade 3 Results" sheetId="4" state="visible" r:id="rId5"/>
    <sheet name="Grade 4 Results" sheetId="5" state="visible" r:id="rId6"/>
    <sheet name="Grade 5 Results" sheetId="6" state="visible" r:id="rId7"/>
    <sheet name="Grade 6 Results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0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Inconsolata"/>
      <family val="0"/>
      <charset val="1"/>
    </font>
    <font>
      <sz val="11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.38"/>
    <col collapsed="false" customWidth="true" hidden="false" outlineLevel="0" max="2" min="2" style="0" width="7.75"/>
    <col collapsed="false" customWidth="true" hidden="false" outlineLevel="0" max="3" min="3" style="0" width="8.51"/>
    <col collapsed="false" customWidth="true" hidden="false" outlineLevel="0" max="4" min="4" style="0" width="9.38"/>
    <col collapsed="false" customWidth="true" hidden="true" outlineLevel="0" max="5" min="5" style="0" width="7"/>
    <col collapsed="false" customWidth="true" hidden="false" outlineLevel="0" max="6" min="6" style="0" width="4.63"/>
    <col collapsed="false" customWidth="true" hidden="false" outlineLevel="0" max="7" min="7" style="0" width="3.5"/>
    <col collapsed="false" customWidth="true" hidden="false" outlineLevel="0" max="8" min="8" style="0" width="4.75"/>
    <col collapsed="false" customWidth="true" hidden="false" outlineLevel="0" max="9" min="9" style="0" width="4.63"/>
    <col collapsed="false" customWidth="true" hidden="false" outlineLevel="0" max="10" min="10" style="0" width="3.5"/>
    <col collapsed="false" customWidth="true" hidden="false" outlineLevel="0" max="11" min="11" style="0" width="4.75"/>
    <col collapsed="false" customWidth="true" hidden="false" outlineLevel="0" max="13" min="13" style="0" width="3.25"/>
    <col collapsed="false" customWidth="true" hidden="false" outlineLevel="0" max="14" min="14" style="0" width="2.12"/>
    <col collapsed="false" customWidth="true" hidden="false" outlineLevel="0" max="15" min="15" style="0" width="3.37"/>
    <col collapsed="false" customWidth="true" hidden="false" outlineLevel="0" max="17" min="17" style="0" width="3.25"/>
    <col collapsed="false" customWidth="true" hidden="false" outlineLevel="0" max="18" min="18" style="0" width="2.12"/>
    <col collapsed="false" customWidth="true" hidden="false" outlineLevel="0" max="19" min="19" style="0" width="3.37"/>
    <col collapsed="false" customWidth="true" hidden="false" outlineLevel="0" max="21" min="21" style="0" width="3.25"/>
    <col collapsed="false" customWidth="true" hidden="false" outlineLevel="0" max="22" min="22" style="0" width="2.12"/>
    <col collapsed="false" customWidth="true" hidden="false" outlineLevel="0" max="23" min="23" style="0" width="3.37"/>
    <col collapsed="false" customWidth="true" hidden="false" outlineLevel="0" max="25" min="25" style="0" width="3.25"/>
    <col collapsed="false" customWidth="true" hidden="false" outlineLevel="0" max="26" min="26" style="0" width="2.12"/>
    <col collapsed="false" customWidth="true" hidden="false" outlineLevel="0" max="27" min="27" style="0" width="3.37"/>
  </cols>
  <sheetData>
    <row r="1" customFormat="false" ht="15.75" hidden="false" customHeight="false" outlineLevel="0" collapsed="false">
      <c r="A1" s="1" t="str">
        <f aca="false">IFERROR(__xludf.dummyfunction("IMPORTRANGE(""https://docs.google.com/spreadsheets/d/12hYoABwbIKZWH999TWWKy4O4jwUQxKKoQeVE5C79uUA/edit#gid=145122673"",""Grade 1 Results!A1:AD39"")"),"Grade 1")</f>
        <v>Grade 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customFormat="false" ht="15.75" hidden="false" customHeight="false" outlineLevel="0" collapsed="false">
      <c r="A2" s="3" t="str">
        <f aca="false">IFERROR(__xludf.dummyfunction("""COMPUTED_VALUE"""),"No.")</f>
        <v>No.</v>
      </c>
      <c r="B2" s="3" t="str">
        <f aca="false">IFERROR(__xludf.dummyfunction("""COMPUTED_VALUE"""),"Name")</f>
        <v>Name</v>
      </c>
      <c r="C2" s="3"/>
      <c r="D2" s="3" t="str">
        <f aca="false">IFERROR(__xludf.dummyfunction("""COMPUTED_VALUE"""),"Club")</f>
        <v>Club</v>
      </c>
      <c r="E2" s="3" t="str">
        <f aca="false">IFERROR(__xludf.dummyfunction("""COMPUTED_VALUE"""),"Level")</f>
        <v>Level</v>
      </c>
      <c r="F2" s="3" t="str">
        <f aca="false">IFERROR(__xludf.dummyfunction("""COMPUTED_VALUE"""),"1 SV")</f>
        <v>1 SV</v>
      </c>
      <c r="G2" s="3" t="str">
        <f aca="false">IFERROR(__xludf.dummyfunction("""COMPUTED_VALUE"""),"1 B")</f>
        <v>1 B</v>
      </c>
      <c r="H2" s="3" t="str">
        <f aca="false">IFERROR(__xludf.dummyfunction("""COMPUTED_VALUE"""),"1 ND")</f>
        <v>1 ND</v>
      </c>
      <c r="I2" s="3" t="str">
        <f aca="false">IFERROR(__xludf.dummyfunction("""COMPUTED_VALUE"""),"2 SV")</f>
        <v>2 SV</v>
      </c>
      <c r="J2" s="3" t="str">
        <f aca="false">IFERROR(__xludf.dummyfunction("""COMPUTED_VALUE"""),"2 B")</f>
        <v>2 B</v>
      </c>
      <c r="K2" s="3" t="str">
        <f aca="false">IFERROR(__xludf.dummyfunction("""COMPUTED_VALUE"""),"2 ND")</f>
        <v>2 ND</v>
      </c>
      <c r="L2" s="3" t="str">
        <f aca="false">IFERROR(__xludf.dummyfunction("""COMPUTED_VALUE"""),"Vault")</f>
        <v>Vault</v>
      </c>
      <c r="M2" s="3" t="str">
        <f aca="false">IFERROR(__xludf.dummyfunction("""COMPUTED_VALUE"""),"SV")</f>
        <v>SV</v>
      </c>
      <c r="N2" s="3" t="str">
        <f aca="false">IFERROR(__xludf.dummyfunction("""COMPUTED_VALUE"""),"B")</f>
        <v>B</v>
      </c>
      <c r="O2" s="3" t="str">
        <f aca="false">IFERROR(__xludf.dummyfunction("""COMPUTED_VALUE"""),"ND")</f>
        <v>ND</v>
      </c>
      <c r="P2" s="3" t="str">
        <f aca="false">IFERROR(__xludf.dummyfunction("""COMPUTED_VALUE"""),"Bars")</f>
        <v>Bars</v>
      </c>
      <c r="Q2" s="3" t="str">
        <f aca="false">IFERROR(__xludf.dummyfunction("""COMPUTED_VALUE"""),"SV")</f>
        <v>SV</v>
      </c>
      <c r="R2" s="3" t="str">
        <f aca="false">IFERROR(__xludf.dummyfunction("""COMPUTED_VALUE"""),"B")</f>
        <v>B</v>
      </c>
      <c r="S2" s="3" t="str">
        <f aca="false">IFERROR(__xludf.dummyfunction("""COMPUTED_VALUE"""),"ND")</f>
        <v>ND</v>
      </c>
      <c r="T2" s="3" t="str">
        <f aca="false">IFERROR(__xludf.dummyfunction("""COMPUTED_VALUE"""),"Beam")</f>
        <v>Beam</v>
      </c>
      <c r="U2" s="3" t="str">
        <f aca="false">IFERROR(__xludf.dummyfunction("""COMPUTED_VALUE"""),"SV")</f>
        <v>SV</v>
      </c>
      <c r="V2" s="3" t="str">
        <f aca="false">IFERROR(__xludf.dummyfunction("""COMPUTED_VALUE"""),"B")</f>
        <v>B</v>
      </c>
      <c r="W2" s="3" t="str">
        <f aca="false">IFERROR(__xludf.dummyfunction("""COMPUTED_VALUE"""),"ND")</f>
        <v>ND</v>
      </c>
      <c r="X2" s="3" t="str">
        <f aca="false">IFERROR(__xludf.dummyfunction("""COMPUTED_VALUE"""),"Floor")</f>
        <v>Floor</v>
      </c>
      <c r="Y2" s="3" t="str">
        <f aca="false">IFERROR(__xludf.dummyfunction("""COMPUTED_VALUE"""),"SV")</f>
        <v>SV</v>
      </c>
      <c r="Z2" s="3" t="str">
        <f aca="false">IFERROR(__xludf.dummyfunction("""COMPUTED_VALUE"""),"B")</f>
        <v>B</v>
      </c>
      <c r="AA2" s="3" t="str">
        <f aca="false">IFERROR(__xludf.dummyfunction("""COMPUTED_VALUE"""),"ND")</f>
        <v>ND</v>
      </c>
      <c r="AB2" s="3" t="str">
        <f aca="false">IFERROR(__xludf.dummyfunction("""COMPUTED_VALUE"""),"R&amp;C")</f>
        <v>R&amp;C</v>
      </c>
      <c r="AC2" s="3" t="str">
        <f aca="false">IFERROR(__xludf.dummyfunction("""COMPUTED_VALUE"""),"Total")</f>
        <v>Total</v>
      </c>
      <c r="AD2" s="3" t="str">
        <f aca="false">IFERROR(__xludf.dummyfunction("""COMPUTED_VALUE"""),"Pos")</f>
        <v>Pos</v>
      </c>
    </row>
    <row r="3" customFormat="false" ht="15.75" hidden="false" customHeight="false" outlineLevel="0" collapsed="false">
      <c r="A3" s="3" t="n">
        <f aca="false">IFERROR(__xludf.dummyfunction("""COMPUTED_VALUE"""),18)</f>
        <v>18</v>
      </c>
      <c r="B3" s="3" t="str">
        <f aca="false">IFERROR(__xludf.dummyfunction("""COMPUTED_VALUE"""),"Meadow")</f>
        <v>Meadow</v>
      </c>
      <c r="C3" s="3" t="str">
        <f aca="false">IFERROR(__xludf.dummyfunction("""COMPUTED_VALUE"""),"Way")</f>
        <v>Way</v>
      </c>
      <c r="D3" s="3" t="str">
        <f aca="false">IFERROR(__xludf.dummyfunction("""COMPUTED_VALUE"""),"SSGC")</f>
        <v>SSGC</v>
      </c>
      <c r="E3" s="3" t="str">
        <f aca="false">IFERROR(__xludf.dummyfunction("""COMPUTED_VALUE"""),"Grade 1")</f>
        <v>Grade 1</v>
      </c>
      <c r="F3" s="3" t="n">
        <f aca="false">IFERROR(__xludf.dummyfunction("""COMPUTED_VALUE"""),4)</f>
        <v>4</v>
      </c>
      <c r="G3" s="3"/>
      <c r="H3" s="3"/>
      <c r="I3" s="3" t="n">
        <f aca="false">IFERROR(__xludf.dummyfunction("""COMPUTED_VALUE"""),4)</f>
        <v>4</v>
      </c>
      <c r="J3" s="3"/>
      <c r="K3" s="3"/>
      <c r="L3" s="4" t="n">
        <f aca="false">IFERROR(__xludf.dummyfunction("""COMPUTED_VALUE"""),12.35)</f>
        <v>12.35</v>
      </c>
      <c r="M3" s="3" t="n">
        <f aca="false">IFERROR(__xludf.dummyfunction("""COMPUTED_VALUE"""),4)</f>
        <v>4</v>
      </c>
      <c r="N3" s="3"/>
      <c r="O3" s="3"/>
      <c r="P3" s="4" t="n">
        <f aca="false">IFERROR(__xludf.dummyfunction("""COMPUTED_VALUE"""),11.95)</f>
        <v>11.95</v>
      </c>
      <c r="Q3" s="3" t="n">
        <f aca="false">IFERROR(__xludf.dummyfunction("""COMPUTED_VALUE"""),4)</f>
        <v>4</v>
      </c>
      <c r="R3" s="3"/>
      <c r="S3" s="3"/>
      <c r="T3" s="4" t="n">
        <f aca="false">IFERROR(__xludf.dummyfunction("""COMPUTED_VALUE"""),8.7)</f>
        <v>8.7</v>
      </c>
      <c r="U3" s="3" t="n">
        <f aca="false">IFERROR(__xludf.dummyfunction("""COMPUTED_VALUE"""),3)</f>
        <v>3</v>
      </c>
      <c r="V3" s="3"/>
      <c r="W3" s="3"/>
      <c r="X3" s="4" t="n">
        <f aca="false">IFERROR(__xludf.dummyfunction("""COMPUTED_VALUE"""),8.4)</f>
        <v>8.4</v>
      </c>
      <c r="Y3" s="3" t="n">
        <f aca="false">IFERROR(__xludf.dummyfunction("""COMPUTED_VALUE"""),4)</f>
        <v>4</v>
      </c>
      <c r="Z3" s="3"/>
      <c r="AA3" s="3"/>
      <c r="AB3" s="4" t="n">
        <f aca="false">IFERROR(__xludf.dummyfunction("""COMPUTED_VALUE"""),12.2)</f>
        <v>12.2</v>
      </c>
      <c r="AC3" s="4" t="n">
        <f aca="false">IFERROR(__xludf.dummyfunction("""COMPUTED_VALUE"""),53.6)</f>
        <v>53.6</v>
      </c>
      <c r="AD3" s="3" t="n">
        <f aca="false">IFERROR(__xludf.dummyfunction("""COMPUTED_VALUE"""),9)</f>
        <v>9</v>
      </c>
    </row>
    <row r="4" customFormat="false" ht="15.75" hidden="false" customHeight="false" outlineLevel="0" collapsed="false">
      <c r="A4" s="3" t="n">
        <f aca="false">IFERROR(__xludf.dummyfunction("""COMPUTED_VALUE"""),19)</f>
        <v>19</v>
      </c>
      <c r="B4" s="3" t="str">
        <f aca="false">IFERROR(__xludf.dummyfunction("""COMPUTED_VALUE"""),"Hayley")</f>
        <v>Hayley</v>
      </c>
      <c r="C4" s="3" t="str">
        <f aca="false">IFERROR(__xludf.dummyfunction("""COMPUTED_VALUE"""),"Dolton")</f>
        <v>Dolton</v>
      </c>
      <c r="D4" s="3" t="str">
        <f aca="false">IFERROR(__xludf.dummyfunction("""COMPUTED_VALUE"""),"SSGC")</f>
        <v>SSGC</v>
      </c>
      <c r="E4" s="3" t="str">
        <f aca="false">IFERROR(__xludf.dummyfunction("""COMPUTED_VALUE"""),"Grade 1")</f>
        <v>Grade 1</v>
      </c>
      <c r="F4" s="3" t="n">
        <f aca="false">IFERROR(__xludf.dummyfunction("""COMPUTED_VALUE"""),4)</f>
        <v>4</v>
      </c>
      <c r="G4" s="3"/>
      <c r="H4" s="3"/>
      <c r="I4" s="3" t="n">
        <f aca="false">IFERROR(__xludf.dummyfunction("""COMPUTED_VALUE"""),4)</f>
        <v>4</v>
      </c>
      <c r="J4" s="3"/>
      <c r="K4" s="3"/>
      <c r="L4" s="4" t="n">
        <f aca="false">IFERROR(__xludf.dummyfunction("""COMPUTED_VALUE"""),12.6)</f>
        <v>12.6</v>
      </c>
      <c r="M4" s="3" t="n">
        <f aca="false">IFERROR(__xludf.dummyfunction("""COMPUTED_VALUE"""),4)</f>
        <v>4</v>
      </c>
      <c r="N4" s="3"/>
      <c r="O4" s="3"/>
      <c r="P4" s="4" t="n">
        <f aca="false">IFERROR(__xludf.dummyfunction("""COMPUTED_VALUE"""),12.75)</f>
        <v>12.75</v>
      </c>
      <c r="Q4" s="3" t="n">
        <f aca="false">IFERROR(__xludf.dummyfunction("""COMPUTED_VALUE"""),4)</f>
        <v>4</v>
      </c>
      <c r="R4" s="3"/>
      <c r="S4" s="3" t="n">
        <f aca="false">IFERROR(__xludf.dummyfunction("""COMPUTED_VALUE"""),0.5)</f>
        <v>0.5</v>
      </c>
      <c r="T4" s="4" t="n">
        <f aca="false">IFERROR(__xludf.dummyfunction("""COMPUTED_VALUE"""),9.35)</f>
        <v>9.35</v>
      </c>
      <c r="U4" s="3" t="n">
        <f aca="false">IFERROR(__xludf.dummyfunction("""COMPUTED_VALUE"""),4)</f>
        <v>4</v>
      </c>
      <c r="V4" s="3"/>
      <c r="W4" s="3"/>
      <c r="X4" s="4" t="n">
        <f aca="false">IFERROR(__xludf.dummyfunction("""COMPUTED_VALUE"""),10.1)</f>
        <v>10.1</v>
      </c>
      <c r="Y4" s="3" t="n">
        <f aca="false">IFERROR(__xludf.dummyfunction("""COMPUTED_VALUE"""),3.5)</f>
        <v>3.5</v>
      </c>
      <c r="Z4" s="3"/>
      <c r="AA4" s="3"/>
      <c r="AB4" s="4" t="n">
        <f aca="false">IFERROR(__xludf.dummyfunction("""COMPUTED_VALUE"""),12.05)</f>
        <v>12.05</v>
      </c>
      <c r="AC4" s="4" t="n">
        <f aca="false">IFERROR(__xludf.dummyfunction("""COMPUTED_VALUE"""),56.85)</f>
        <v>56.85</v>
      </c>
      <c r="AD4" s="3" t="n">
        <f aca="false">IFERROR(__xludf.dummyfunction("""COMPUTED_VALUE"""),6)</f>
        <v>6</v>
      </c>
    </row>
    <row r="5" customFormat="false" ht="15.75" hidden="false" customHeight="false" outlineLevel="0" collapsed="false">
      <c r="A5" s="3" t="n">
        <f aca="false">IFERROR(__xludf.dummyfunction("""COMPUTED_VALUE"""),20)</f>
        <v>20</v>
      </c>
      <c r="B5" s="3" t="str">
        <f aca="false">IFERROR(__xludf.dummyfunction("""COMPUTED_VALUE"""),"Ella")</f>
        <v>Ella</v>
      </c>
      <c r="C5" s="3" t="str">
        <f aca="false">IFERROR(__xludf.dummyfunction("""COMPUTED_VALUE"""),"Nowell")</f>
        <v>Nowell</v>
      </c>
      <c r="D5" s="3" t="str">
        <f aca="false">IFERROR(__xludf.dummyfunction("""COMPUTED_VALUE"""),"DYN SG")</f>
        <v>DYN SG</v>
      </c>
      <c r="E5" s="3" t="str">
        <f aca="false">IFERROR(__xludf.dummyfunction("""COMPUTED_VALUE"""),"Grade 1")</f>
        <v>Grade 1</v>
      </c>
      <c r="F5" s="3" t="n">
        <f aca="false">IFERROR(__xludf.dummyfunction("""COMPUTED_VALUE"""),4)</f>
        <v>4</v>
      </c>
      <c r="G5" s="3"/>
      <c r="H5" s="3"/>
      <c r="I5" s="3" t="n">
        <f aca="false">IFERROR(__xludf.dummyfunction("""COMPUTED_VALUE"""),4)</f>
        <v>4</v>
      </c>
      <c r="J5" s="3"/>
      <c r="K5" s="3"/>
      <c r="L5" s="4" t="n">
        <f aca="false">IFERROR(__xludf.dummyfunction("""COMPUTED_VALUE"""),12.9)</f>
        <v>12.9</v>
      </c>
      <c r="M5" s="3" t="n">
        <f aca="false">IFERROR(__xludf.dummyfunction("""COMPUTED_VALUE"""),4)</f>
        <v>4</v>
      </c>
      <c r="N5" s="3"/>
      <c r="O5" s="3"/>
      <c r="P5" s="4" t="n">
        <f aca="false">IFERROR(__xludf.dummyfunction("""COMPUTED_VALUE"""),12.95)</f>
        <v>12.95</v>
      </c>
      <c r="Q5" s="3" t="n">
        <f aca="false">IFERROR(__xludf.dummyfunction("""COMPUTED_VALUE"""),4)</f>
        <v>4</v>
      </c>
      <c r="R5" s="3"/>
      <c r="S5" s="3" t="n">
        <f aca="false">IFERROR(__xludf.dummyfunction("""COMPUTED_VALUE"""),0.5)</f>
        <v>0.5</v>
      </c>
      <c r="T5" s="4" t="n">
        <f aca="false">IFERROR(__xludf.dummyfunction("""COMPUTED_VALUE"""),10.35)</f>
        <v>10.35</v>
      </c>
      <c r="U5" s="3" t="n">
        <f aca="false">IFERROR(__xludf.dummyfunction("""COMPUTED_VALUE"""),3.5)</f>
        <v>3.5</v>
      </c>
      <c r="V5" s="3"/>
      <c r="W5" s="3"/>
      <c r="X5" s="4" t="n">
        <f aca="false">IFERROR(__xludf.dummyfunction("""COMPUTED_VALUE"""),8.7)</f>
        <v>8.7</v>
      </c>
      <c r="Y5" s="3" t="n">
        <f aca="false">IFERROR(__xludf.dummyfunction("""COMPUTED_VALUE"""),3.5)</f>
        <v>3.5</v>
      </c>
      <c r="Z5" s="3"/>
      <c r="AA5" s="3"/>
      <c r="AB5" s="4" t="n">
        <f aca="false">IFERROR(__xludf.dummyfunction("""COMPUTED_VALUE"""),12.6)</f>
        <v>12.6</v>
      </c>
      <c r="AC5" s="4" t="n">
        <f aca="false">IFERROR(__xludf.dummyfunction("""COMPUTED_VALUE"""),57.5)</f>
        <v>57.5</v>
      </c>
      <c r="AD5" s="3" t="n">
        <f aca="false">IFERROR(__xludf.dummyfunction("""COMPUTED_VALUE"""),5)</f>
        <v>5</v>
      </c>
    </row>
    <row r="6" customFormat="false" ht="15.75" hidden="false" customHeight="false" outlineLevel="0" collapsed="false">
      <c r="A6" s="3" t="n">
        <f aca="false">IFERROR(__xludf.dummyfunction("""COMPUTED_VALUE"""),21)</f>
        <v>21</v>
      </c>
      <c r="B6" s="3" t="str">
        <f aca="false">IFERROR(__xludf.dummyfunction("""COMPUTED_VALUE"""),"Tina")</f>
        <v>Tina</v>
      </c>
      <c r="C6" s="3" t="str">
        <f aca="false">IFERROR(__xludf.dummyfunction("""COMPUTED_VALUE"""),"Dimitrova")</f>
        <v>Dimitrova</v>
      </c>
      <c r="D6" s="3" t="str">
        <f aca="false">IFERROR(__xludf.dummyfunction("""COMPUTED_VALUE"""),"WAT GC")</f>
        <v>WAT GC</v>
      </c>
      <c r="E6" s="3" t="str">
        <f aca="false">IFERROR(__xludf.dummyfunction("""COMPUTED_VALUE"""),"Grade 1")</f>
        <v>Grade 1</v>
      </c>
      <c r="F6" s="3" t="n">
        <f aca="false">IFERROR(__xludf.dummyfunction("""COMPUTED_VALUE"""),4)</f>
        <v>4</v>
      </c>
      <c r="G6" s="3"/>
      <c r="H6" s="3"/>
      <c r="I6" s="3" t="n">
        <f aca="false">IFERROR(__xludf.dummyfunction("""COMPUTED_VALUE"""),4)</f>
        <v>4</v>
      </c>
      <c r="J6" s="3"/>
      <c r="K6" s="3"/>
      <c r="L6" s="4" t="n">
        <f aca="false">IFERROR(__xludf.dummyfunction("""COMPUTED_VALUE"""),12.55)</f>
        <v>12.55</v>
      </c>
      <c r="M6" s="3" t="n">
        <f aca="false">IFERROR(__xludf.dummyfunction("""COMPUTED_VALUE"""),4)</f>
        <v>4</v>
      </c>
      <c r="N6" s="3"/>
      <c r="O6" s="3"/>
      <c r="P6" s="4" t="n">
        <f aca="false">IFERROR(__xludf.dummyfunction("""COMPUTED_VALUE"""),12.95)</f>
        <v>12.95</v>
      </c>
      <c r="Q6" s="3" t="n">
        <f aca="false">IFERROR(__xludf.dummyfunction("""COMPUTED_VALUE"""),4)</f>
        <v>4</v>
      </c>
      <c r="R6" s="3"/>
      <c r="S6" s="3"/>
      <c r="T6" s="4" t="n">
        <f aca="false">IFERROR(__xludf.dummyfunction("""COMPUTED_VALUE"""),11.85)</f>
        <v>11.85</v>
      </c>
      <c r="U6" s="3" t="n">
        <f aca="false">IFERROR(__xludf.dummyfunction("""COMPUTED_VALUE"""),4)</f>
        <v>4</v>
      </c>
      <c r="V6" s="3"/>
      <c r="W6" s="3"/>
      <c r="X6" s="4" t="n">
        <f aca="false">IFERROR(__xludf.dummyfunction("""COMPUTED_VALUE"""),10.8)</f>
        <v>10.8</v>
      </c>
      <c r="Y6" s="3" t="n">
        <f aca="false">IFERROR(__xludf.dummyfunction("""COMPUTED_VALUE"""),3.5)</f>
        <v>3.5</v>
      </c>
      <c r="Z6" s="3"/>
      <c r="AA6" s="3"/>
      <c r="AB6" s="4" t="n">
        <f aca="false">IFERROR(__xludf.dummyfunction("""COMPUTED_VALUE"""),12.1)</f>
        <v>12.1</v>
      </c>
      <c r="AC6" s="4" t="n">
        <f aca="false">IFERROR(__xludf.dummyfunction("""COMPUTED_VALUE"""),60.25)</f>
        <v>60.25</v>
      </c>
      <c r="AD6" s="3" t="n">
        <f aca="false">IFERROR(__xludf.dummyfunction("""COMPUTED_VALUE"""),3)</f>
        <v>3</v>
      </c>
    </row>
    <row r="7" customFormat="false" ht="15.75" hidden="false" customHeight="false" outlineLevel="0" collapsed="false">
      <c r="A7" s="3" t="n">
        <f aca="false">IFERROR(__xludf.dummyfunction("""COMPUTED_VALUE"""),22)</f>
        <v>22</v>
      </c>
      <c r="B7" s="3" t="str">
        <f aca="false">IFERROR(__xludf.dummyfunction("""COMPUTED_VALUE"""),"Charlotte")</f>
        <v>Charlotte</v>
      </c>
      <c r="C7" s="3" t="str">
        <f aca="false">IFERROR(__xludf.dummyfunction("""COMPUTED_VALUE"""),"Chignell")</f>
        <v>Chignell</v>
      </c>
      <c r="D7" s="3" t="str">
        <f aca="false">IFERROR(__xludf.dummyfunction("""COMPUTED_VALUE"""),"WAT GC")</f>
        <v>WAT GC</v>
      </c>
      <c r="E7" s="3" t="str">
        <f aca="false">IFERROR(__xludf.dummyfunction("""COMPUTED_VALUE"""),"Grade 1")</f>
        <v>Grade 1</v>
      </c>
      <c r="F7" s="3" t="n">
        <f aca="false">IFERROR(__xludf.dummyfunction("""COMPUTED_VALUE"""),4)</f>
        <v>4</v>
      </c>
      <c r="G7" s="3"/>
      <c r="H7" s="3"/>
      <c r="I7" s="3" t="n">
        <f aca="false">IFERROR(__xludf.dummyfunction("""COMPUTED_VALUE"""),4)</f>
        <v>4</v>
      </c>
      <c r="J7" s="3"/>
      <c r="K7" s="3"/>
      <c r="L7" s="4" t="n">
        <f aca="false">IFERROR(__xludf.dummyfunction("""COMPUTED_VALUE"""),12.15)</f>
        <v>12.15</v>
      </c>
      <c r="M7" s="3" t="n">
        <f aca="false">IFERROR(__xludf.dummyfunction("""COMPUTED_VALUE"""),4)</f>
        <v>4</v>
      </c>
      <c r="N7" s="3"/>
      <c r="O7" s="3"/>
      <c r="P7" s="4" t="n">
        <f aca="false">IFERROR(__xludf.dummyfunction("""COMPUTED_VALUE"""),12.75)</f>
        <v>12.75</v>
      </c>
      <c r="Q7" s="3" t="n">
        <f aca="false">IFERROR(__xludf.dummyfunction("""COMPUTED_VALUE"""),4)</f>
        <v>4</v>
      </c>
      <c r="R7" s="3"/>
      <c r="S7" s="3" t="n">
        <f aca="false">IFERROR(__xludf.dummyfunction("""COMPUTED_VALUE"""),0.5)</f>
        <v>0.5</v>
      </c>
      <c r="T7" s="4" t="n">
        <f aca="false">IFERROR(__xludf.dummyfunction("""COMPUTED_VALUE"""),9.95)</f>
        <v>9.95</v>
      </c>
      <c r="U7" s="3" t="n">
        <f aca="false">IFERROR(__xludf.dummyfunction("""COMPUTED_VALUE"""),3.5)</f>
        <v>3.5</v>
      </c>
      <c r="V7" s="3"/>
      <c r="W7" s="3"/>
      <c r="X7" s="4" t="n">
        <f aca="false">IFERROR(__xludf.dummyfunction("""COMPUTED_VALUE"""),9.9)</f>
        <v>9.9</v>
      </c>
      <c r="Y7" s="3" t="n">
        <f aca="false">IFERROR(__xludf.dummyfunction("""COMPUTED_VALUE"""),3.5)</f>
        <v>3.5</v>
      </c>
      <c r="Z7" s="3"/>
      <c r="AA7" s="3"/>
      <c r="AB7" s="4" t="n">
        <f aca="false">IFERROR(__xludf.dummyfunction("""COMPUTED_VALUE"""),11.7)</f>
        <v>11.7</v>
      </c>
      <c r="AC7" s="4" t="n">
        <f aca="false">IFERROR(__xludf.dummyfunction("""COMPUTED_VALUE"""),56.45)</f>
        <v>56.45</v>
      </c>
      <c r="AD7" s="3" t="n">
        <f aca="false">IFERROR(__xludf.dummyfunction("""COMPUTED_VALUE"""),7)</f>
        <v>7</v>
      </c>
    </row>
    <row r="8" customFormat="false" ht="15.75" hidden="false" customHeight="false" outlineLevel="0" collapsed="false">
      <c r="A8" s="3" t="n">
        <f aca="false">IFERROR(__xludf.dummyfunction("""COMPUTED_VALUE"""),23)</f>
        <v>23</v>
      </c>
      <c r="B8" s="3" t="str">
        <f aca="false">IFERROR(__xludf.dummyfunction("""COMPUTED_VALUE"""),"Erin")</f>
        <v>Erin</v>
      </c>
      <c r="C8" s="3" t="str">
        <f aca="false">IFERROR(__xludf.dummyfunction("""COMPUTED_VALUE"""),"Chestnutt")</f>
        <v>Chestnutt</v>
      </c>
      <c r="D8" s="3" t="str">
        <f aca="false">IFERROR(__xludf.dummyfunction("""COMPUTED_VALUE"""),"BAS GC")</f>
        <v>BAS GC</v>
      </c>
      <c r="E8" s="3" t="str">
        <f aca="false">IFERROR(__xludf.dummyfunction("""COMPUTED_VALUE"""),"Grade 1")</f>
        <v>Grade 1</v>
      </c>
      <c r="F8" s="3" t="n">
        <f aca="false">IFERROR(__xludf.dummyfunction("""COMPUTED_VALUE"""),4)</f>
        <v>4</v>
      </c>
      <c r="G8" s="3"/>
      <c r="H8" s="3"/>
      <c r="I8" s="3" t="n">
        <f aca="false">IFERROR(__xludf.dummyfunction("""COMPUTED_VALUE"""),4)</f>
        <v>4</v>
      </c>
      <c r="J8" s="3"/>
      <c r="K8" s="3"/>
      <c r="L8" s="4" t="n">
        <f aca="false">IFERROR(__xludf.dummyfunction("""COMPUTED_VALUE"""),12.7)</f>
        <v>12.7</v>
      </c>
      <c r="M8" s="3" t="n">
        <f aca="false">IFERROR(__xludf.dummyfunction("""COMPUTED_VALUE"""),4)</f>
        <v>4</v>
      </c>
      <c r="N8" s="3"/>
      <c r="O8" s="3"/>
      <c r="P8" s="4" t="n">
        <f aca="false">IFERROR(__xludf.dummyfunction("""COMPUTED_VALUE"""),13.15)</f>
        <v>13.15</v>
      </c>
      <c r="Q8" s="3" t="n">
        <f aca="false">IFERROR(__xludf.dummyfunction("""COMPUTED_VALUE"""),4)</f>
        <v>4</v>
      </c>
      <c r="R8" s="3"/>
      <c r="S8" s="3" t="n">
        <f aca="false">IFERROR(__xludf.dummyfunction("""COMPUTED_VALUE"""),0.5)</f>
        <v>0.5</v>
      </c>
      <c r="T8" s="4" t="n">
        <f aca="false">IFERROR(__xludf.dummyfunction("""COMPUTED_VALUE"""),10.9)</f>
        <v>10.9</v>
      </c>
      <c r="U8" s="3" t="n">
        <f aca="false">IFERROR(__xludf.dummyfunction("""COMPUTED_VALUE"""),4)</f>
        <v>4</v>
      </c>
      <c r="V8" s="3"/>
      <c r="W8" s="3"/>
      <c r="X8" s="4" t="n">
        <f aca="false">IFERROR(__xludf.dummyfunction("""COMPUTED_VALUE"""),11.5)</f>
        <v>11.5</v>
      </c>
      <c r="Y8" s="3" t="n">
        <f aca="false">IFERROR(__xludf.dummyfunction("""COMPUTED_VALUE"""),3.5)</f>
        <v>3.5</v>
      </c>
      <c r="Z8" s="3"/>
      <c r="AA8" s="3"/>
      <c r="AB8" s="4" t="n">
        <f aca="false">IFERROR(__xludf.dummyfunction("""COMPUTED_VALUE"""),12.9)</f>
        <v>12.9</v>
      </c>
      <c r="AC8" s="4" t="n">
        <f aca="false">IFERROR(__xludf.dummyfunction("""COMPUTED_VALUE"""),61.15)</f>
        <v>61.15</v>
      </c>
      <c r="AD8" s="3" t="n">
        <f aca="false">IFERROR(__xludf.dummyfunction("""COMPUTED_VALUE"""),1)</f>
        <v>1</v>
      </c>
    </row>
    <row r="9" customFormat="false" ht="15.75" hidden="false" customHeight="false" outlineLevel="0" collapsed="false">
      <c r="A9" s="5" t="n">
        <f aca="false">IFERROR(__xludf.dummyfunction("""COMPUTED_VALUE"""),24)</f>
        <v>24</v>
      </c>
      <c r="B9" s="3" t="str">
        <f aca="false">IFERROR(__xludf.dummyfunction("""COMPUTED_VALUE"""),"Ella")</f>
        <v>Ella</v>
      </c>
      <c r="C9" s="3" t="str">
        <f aca="false">IFERROR(__xludf.dummyfunction("""COMPUTED_VALUE"""),"Brown")</f>
        <v>Brown</v>
      </c>
      <c r="D9" s="3" t="str">
        <f aca="false">IFERROR(__xludf.dummyfunction("""COMPUTED_VALUE"""),"BAS GC")</f>
        <v>BAS GC</v>
      </c>
      <c r="E9" s="3" t="str">
        <f aca="false">IFERROR(__xludf.dummyfunction("""COMPUTED_VALUE"""),"Grade 1")</f>
        <v>Grade 1</v>
      </c>
      <c r="F9" s="3" t="n">
        <f aca="false">IFERROR(__xludf.dummyfunction("""COMPUTED_VALUE"""),4)</f>
        <v>4</v>
      </c>
      <c r="G9" s="3"/>
      <c r="H9" s="3"/>
      <c r="I9" s="3" t="n">
        <f aca="false">IFERROR(__xludf.dummyfunction("""COMPUTED_VALUE"""),4)</f>
        <v>4</v>
      </c>
      <c r="J9" s="3"/>
      <c r="K9" s="3"/>
      <c r="L9" s="4" t="n">
        <f aca="false">IFERROR(__xludf.dummyfunction("""COMPUTED_VALUE"""),13.1)</f>
        <v>13.1</v>
      </c>
      <c r="M9" s="3" t="n">
        <f aca="false">IFERROR(__xludf.dummyfunction("""COMPUTED_VALUE"""),4)</f>
        <v>4</v>
      </c>
      <c r="N9" s="3"/>
      <c r="O9" s="3"/>
      <c r="P9" s="4" t="n">
        <f aca="false">IFERROR(__xludf.dummyfunction("""COMPUTED_VALUE"""),13.25)</f>
        <v>13.25</v>
      </c>
      <c r="Q9" s="3" t="n">
        <f aca="false">IFERROR(__xludf.dummyfunction("""COMPUTED_VALUE"""),4)</f>
        <v>4</v>
      </c>
      <c r="R9" s="3"/>
      <c r="S9" s="3" t="n">
        <f aca="false">IFERROR(__xludf.dummyfunction("""COMPUTED_VALUE"""),0.5)</f>
        <v>0.5</v>
      </c>
      <c r="T9" s="4" t="n">
        <f aca="false">IFERROR(__xludf.dummyfunction("""COMPUTED_VALUE"""),9.2)</f>
        <v>9.2</v>
      </c>
      <c r="U9" s="3" t="n">
        <f aca="false">IFERROR(__xludf.dummyfunction("""COMPUTED_VALUE"""),3.5)</f>
        <v>3.5</v>
      </c>
      <c r="V9" s="3"/>
      <c r="W9" s="3"/>
      <c r="X9" s="4" t="n">
        <f aca="false">IFERROR(__xludf.dummyfunction("""COMPUTED_VALUE"""),11.5)</f>
        <v>11.5</v>
      </c>
      <c r="Y9" s="3" t="n">
        <f aca="false">IFERROR(__xludf.dummyfunction("""COMPUTED_VALUE"""),3.5)</f>
        <v>3.5</v>
      </c>
      <c r="Z9" s="3"/>
      <c r="AA9" s="3"/>
      <c r="AB9" s="4" t="n">
        <f aca="false">IFERROR(__xludf.dummyfunction("""COMPUTED_VALUE"""),13)</f>
        <v>13</v>
      </c>
      <c r="AC9" s="4" t="n">
        <f aca="false">IFERROR(__xludf.dummyfunction("""COMPUTED_VALUE"""),60.05)</f>
        <v>60.05</v>
      </c>
      <c r="AD9" s="3" t="n">
        <f aca="false">IFERROR(__xludf.dummyfunction("""COMPUTED_VALUE"""),4)</f>
        <v>4</v>
      </c>
    </row>
    <row r="10" customFormat="false" ht="15.75" hidden="false" customHeight="false" outlineLevel="0" collapsed="false">
      <c r="A10" s="3" t="n">
        <f aca="false">IFERROR(__xludf.dummyfunction("""COMPUTED_VALUE"""),25)</f>
        <v>25</v>
      </c>
      <c r="B10" s="3" t="str">
        <f aca="false">IFERROR(__xludf.dummyfunction("""COMPUTED_VALUE"""),"Eva")</f>
        <v>Eva</v>
      </c>
      <c r="C10" s="3" t="str">
        <f aca="false">IFERROR(__xludf.dummyfunction("""COMPUTED_VALUE"""),"O'Sullivan")</f>
        <v>O'Sullivan</v>
      </c>
      <c r="D10" s="3" t="str">
        <f aca="false">IFERROR(__xludf.dummyfunction("""COMPUTED_VALUE"""),"BAS GC")</f>
        <v>BAS GC</v>
      </c>
      <c r="E10" s="3" t="str">
        <f aca="false">IFERROR(__xludf.dummyfunction("""COMPUTED_VALUE"""),"Grade 1")</f>
        <v>Grade 1</v>
      </c>
      <c r="F10" s="3" t="n">
        <f aca="false">IFERROR(__xludf.dummyfunction("""COMPUTED_VALUE"""),4)</f>
        <v>4</v>
      </c>
      <c r="G10" s="3"/>
      <c r="H10" s="3"/>
      <c r="I10" s="3" t="n">
        <f aca="false">IFERROR(__xludf.dummyfunction("""COMPUTED_VALUE"""),4)</f>
        <v>4</v>
      </c>
      <c r="J10" s="3"/>
      <c r="K10" s="3"/>
      <c r="L10" s="4" t="n">
        <f aca="false">IFERROR(__xludf.dummyfunction("""COMPUTED_VALUE"""),12.95)</f>
        <v>12.95</v>
      </c>
      <c r="M10" s="3" t="n">
        <f aca="false">IFERROR(__xludf.dummyfunction("""COMPUTED_VALUE"""),4)</f>
        <v>4</v>
      </c>
      <c r="N10" s="3"/>
      <c r="O10" s="3"/>
      <c r="P10" s="4" t="n">
        <f aca="false">IFERROR(__xludf.dummyfunction("""COMPUTED_VALUE"""),13)</f>
        <v>13</v>
      </c>
      <c r="Q10" s="3" t="n">
        <f aca="false">IFERROR(__xludf.dummyfunction("""COMPUTED_VALUE"""),4)</f>
        <v>4</v>
      </c>
      <c r="R10" s="3"/>
      <c r="S10" s="3"/>
      <c r="T10" s="4" t="n">
        <f aca="false">IFERROR(__xludf.dummyfunction("""COMPUTED_VALUE"""),10.9)</f>
        <v>10.9</v>
      </c>
      <c r="U10" s="3" t="n">
        <f aca="false">IFERROR(__xludf.dummyfunction("""COMPUTED_VALUE"""),4)</f>
        <v>4</v>
      </c>
      <c r="V10" s="3"/>
      <c r="W10" s="3"/>
      <c r="X10" s="4" t="n">
        <f aca="false">IFERROR(__xludf.dummyfunction("""COMPUTED_VALUE"""),11.75)</f>
        <v>11.75</v>
      </c>
      <c r="Y10" s="3" t="n">
        <f aca="false">IFERROR(__xludf.dummyfunction("""COMPUTED_VALUE"""),3.5)</f>
        <v>3.5</v>
      </c>
      <c r="Z10" s="3"/>
      <c r="AA10" s="3"/>
      <c r="AB10" s="4" t="n">
        <f aca="false">IFERROR(__xludf.dummyfunction("""COMPUTED_VALUE"""),11.85)</f>
        <v>11.85</v>
      </c>
      <c r="AC10" s="4" t="n">
        <f aca="false">IFERROR(__xludf.dummyfunction("""COMPUTED_VALUE"""),60.45)</f>
        <v>60.45</v>
      </c>
      <c r="AD10" s="3" t="n">
        <f aca="false">IFERROR(__xludf.dummyfunction("""COMPUTED_VALUE"""),2)</f>
        <v>2</v>
      </c>
    </row>
    <row r="11" customFormat="false" ht="15.75" hidden="false" customHeight="false" outlineLevel="0" collapsed="false">
      <c r="A11" s="3" t="n">
        <f aca="false">IFERROR(__xludf.dummyfunction("""COMPUTED_VALUE"""),26)</f>
        <v>26</v>
      </c>
      <c r="B11" s="3" t="str">
        <f aca="false">IFERROR(__xludf.dummyfunction("""COMPUTED_VALUE"""),"Aurora")</f>
        <v>Aurora</v>
      </c>
      <c r="C11" s="3" t="str">
        <f aca="false">IFERROR(__xludf.dummyfunction("""COMPUTED_VALUE"""),"Williams")</f>
        <v>Williams</v>
      </c>
      <c r="D11" s="3" t="str">
        <f aca="false">IFERROR(__xludf.dummyfunction("""COMPUTED_VALUE"""),"VIVA GC")</f>
        <v>VIVA GC</v>
      </c>
      <c r="E11" s="3" t="str">
        <f aca="false">IFERROR(__xludf.dummyfunction("""COMPUTED_VALUE"""),"Grade 1")</f>
        <v>Grade 1</v>
      </c>
      <c r="F11" s="3" t="n">
        <f aca="false">IFERROR(__xludf.dummyfunction("""COMPUTED_VALUE"""),4)</f>
        <v>4</v>
      </c>
      <c r="G11" s="3"/>
      <c r="H11" s="3"/>
      <c r="I11" s="3" t="n">
        <f aca="false">IFERROR(__xludf.dummyfunction("""COMPUTED_VALUE"""),4)</f>
        <v>4</v>
      </c>
      <c r="J11" s="3"/>
      <c r="K11" s="3"/>
      <c r="L11" s="4" t="n">
        <f aca="false">IFERROR(__xludf.dummyfunction("""COMPUTED_VALUE"""),12.7)</f>
        <v>12.7</v>
      </c>
      <c r="M11" s="3" t="n">
        <f aca="false">IFERROR(__xludf.dummyfunction("""COMPUTED_VALUE"""),4)</f>
        <v>4</v>
      </c>
      <c r="N11" s="3"/>
      <c r="O11" s="3"/>
      <c r="P11" s="4" t="n">
        <f aca="false">IFERROR(__xludf.dummyfunction("""COMPUTED_VALUE"""),10.2)</f>
        <v>10.2</v>
      </c>
      <c r="Q11" s="3" t="n">
        <f aca="false">IFERROR(__xludf.dummyfunction("""COMPUTED_VALUE"""),3.5)</f>
        <v>3.5</v>
      </c>
      <c r="R11" s="3"/>
      <c r="S11" s="3"/>
      <c r="T11" s="4" t="n">
        <f aca="false">IFERROR(__xludf.dummyfunction("""COMPUTED_VALUE"""),8.1)</f>
        <v>8.1</v>
      </c>
      <c r="U11" s="3" t="n">
        <f aca="false">IFERROR(__xludf.dummyfunction("""COMPUTED_VALUE"""),4)</f>
        <v>4</v>
      </c>
      <c r="V11" s="3"/>
      <c r="W11" s="3"/>
      <c r="X11" s="4" t="n">
        <f aca="false">IFERROR(__xludf.dummyfunction("""COMPUTED_VALUE"""),10.9)</f>
        <v>10.9</v>
      </c>
      <c r="Y11" s="3" t="n">
        <f aca="false">IFERROR(__xludf.dummyfunction("""COMPUTED_VALUE"""),2.5)</f>
        <v>2.5</v>
      </c>
      <c r="Z11" s="3"/>
      <c r="AA11" s="3"/>
      <c r="AB11" s="4" t="n">
        <f aca="false">IFERROR(__xludf.dummyfunction("""COMPUTED_VALUE"""),11.3)</f>
        <v>11.3</v>
      </c>
      <c r="AC11" s="4" t="n">
        <f aca="false">IFERROR(__xludf.dummyfunction("""COMPUTED_VALUE"""),53.2)</f>
        <v>53.2</v>
      </c>
      <c r="AD11" s="3" t="n">
        <f aca="false">IFERROR(__xludf.dummyfunction("""COMPUTED_VALUE"""),10)</f>
        <v>10</v>
      </c>
    </row>
    <row r="12" customFormat="false" ht="15.75" hidden="false" customHeight="false" outlineLevel="0" collapsed="false">
      <c r="A12" s="3" t="n">
        <f aca="false">IFERROR(__xludf.dummyfunction("""COMPUTED_VALUE"""),27)</f>
        <v>27</v>
      </c>
      <c r="B12" s="3" t="str">
        <f aca="false">IFERROR(__xludf.dummyfunction("""COMPUTED_VALUE"""),"Holly")</f>
        <v>Holly</v>
      </c>
      <c r="C12" s="3" t="str">
        <f aca="false">IFERROR(__xludf.dummyfunction("""COMPUTED_VALUE"""),"Haynes")</f>
        <v>Haynes</v>
      </c>
      <c r="D12" s="3" t="str">
        <f aca="false">IFERROR(__xludf.dummyfunction("""COMPUTED_VALUE"""),"ALTON GC")</f>
        <v>ALTON GC</v>
      </c>
      <c r="E12" s="3" t="str">
        <f aca="false">IFERROR(__xludf.dummyfunction("""COMPUTED_VALUE"""),"Grade 1")</f>
        <v>Grade 1</v>
      </c>
      <c r="F12" s="3" t="n">
        <f aca="false">IFERROR(__xludf.dummyfunction("""COMPUTED_VALUE"""),4)</f>
        <v>4</v>
      </c>
      <c r="G12" s="3"/>
      <c r="H12" s="3"/>
      <c r="I12" s="3" t="n">
        <f aca="false">IFERROR(__xludf.dummyfunction("""COMPUTED_VALUE"""),4)</f>
        <v>4</v>
      </c>
      <c r="J12" s="3"/>
      <c r="K12" s="3"/>
      <c r="L12" s="4" t="n">
        <f aca="false">IFERROR(__xludf.dummyfunction("""COMPUTED_VALUE"""),12.25)</f>
        <v>12.25</v>
      </c>
      <c r="M12" s="3" t="n">
        <f aca="false">IFERROR(__xludf.dummyfunction("""COMPUTED_VALUE"""),4)</f>
        <v>4</v>
      </c>
      <c r="N12" s="3"/>
      <c r="O12" s="3"/>
      <c r="P12" s="4" t="n">
        <f aca="false">IFERROR(__xludf.dummyfunction("""COMPUTED_VALUE"""),11.85)</f>
        <v>11.85</v>
      </c>
      <c r="Q12" s="3" t="n">
        <f aca="false">IFERROR(__xludf.dummyfunction("""COMPUTED_VALUE"""),4)</f>
        <v>4</v>
      </c>
      <c r="R12" s="3"/>
      <c r="S12" s="3"/>
      <c r="T12" s="4" t="n">
        <f aca="false">IFERROR(__xludf.dummyfunction("""COMPUTED_VALUE"""),8.95)</f>
        <v>8.95</v>
      </c>
      <c r="U12" s="3" t="n">
        <f aca="false">IFERROR(__xludf.dummyfunction("""COMPUTED_VALUE"""),4)</f>
        <v>4</v>
      </c>
      <c r="V12" s="3"/>
      <c r="W12" s="3"/>
      <c r="X12" s="4" t="n">
        <f aca="false">IFERROR(__xludf.dummyfunction("""COMPUTED_VALUE"""),10.95)</f>
        <v>10.95</v>
      </c>
      <c r="Y12" s="3" t="n">
        <f aca="false">IFERROR(__xludf.dummyfunction("""COMPUTED_VALUE"""),3.5)</f>
        <v>3.5</v>
      </c>
      <c r="Z12" s="3"/>
      <c r="AA12" s="3"/>
      <c r="AB12" s="4" t="n">
        <f aca="false">IFERROR(__xludf.dummyfunction("""COMPUTED_VALUE"""),10.9)</f>
        <v>10.9</v>
      </c>
      <c r="AC12" s="4" t="n">
        <f aca="false">IFERROR(__xludf.dummyfunction("""COMPUTED_VALUE"""),54.9)</f>
        <v>54.9</v>
      </c>
      <c r="AD12" s="3" t="n">
        <f aca="false">IFERROR(__xludf.dummyfunction("""COMPUTED_VALUE"""),8)</f>
        <v>8</v>
      </c>
    </row>
    <row r="13" customFormat="false" ht="15.75" hidden="false" customHeight="false" outlineLevel="0" collapsed="false">
      <c r="A13" s="3" t="n">
        <f aca="false">IFERROR(__xludf.dummyfunction("""COMPUTED_VALUE"""),28)</f>
        <v>28</v>
      </c>
      <c r="B13" s="3" t="str">
        <f aca="false">IFERROR(__xludf.dummyfunction("""COMPUTED_VALUE"""),"Erin")</f>
        <v>Erin</v>
      </c>
      <c r="C13" s="3" t="str">
        <f aca="false">IFERROR(__xludf.dummyfunction("""COMPUTED_VALUE"""),"Fryer")</f>
        <v>Fryer</v>
      </c>
      <c r="D13" s="3" t="str">
        <f aca="false">IFERROR(__xludf.dummyfunction("""COMPUTED_VALUE"""),"ALTON GC")</f>
        <v>ALTON GC</v>
      </c>
      <c r="E13" s="3" t="str">
        <f aca="false">IFERROR(__xludf.dummyfunction("""COMPUTED_VALUE"""),"Grade 1")</f>
        <v>Grade 1</v>
      </c>
      <c r="F13" s="3" t="n">
        <f aca="false">IFERROR(__xludf.dummyfunction("""COMPUTED_VALUE"""),4)</f>
        <v>4</v>
      </c>
      <c r="G13" s="3"/>
      <c r="H13" s="3"/>
      <c r="I13" s="3" t="n">
        <f aca="false">IFERROR(__xludf.dummyfunction("""COMPUTED_VALUE"""),4)</f>
        <v>4</v>
      </c>
      <c r="J13" s="3"/>
      <c r="K13" s="3"/>
      <c r="L13" s="4" t="n">
        <f aca="false">IFERROR(__xludf.dummyfunction("""COMPUTED_VALUE"""),12.4)</f>
        <v>12.4</v>
      </c>
      <c r="M13" s="3" t="n">
        <f aca="false">IFERROR(__xludf.dummyfunction("""COMPUTED_VALUE"""),4)</f>
        <v>4</v>
      </c>
      <c r="N13" s="3"/>
      <c r="O13" s="3"/>
      <c r="P13" s="4" t="n">
        <f aca="false">IFERROR(__xludf.dummyfunction("""COMPUTED_VALUE"""),8.5)</f>
        <v>8.5</v>
      </c>
      <c r="Q13" s="3" t="n">
        <f aca="false">IFERROR(__xludf.dummyfunction("""COMPUTED_VALUE"""),4)</f>
        <v>4</v>
      </c>
      <c r="R13" s="3"/>
      <c r="S13" s="3" t="n">
        <f aca="false">IFERROR(__xludf.dummyfunction("""COMPUTED_VALUE"""),0.5)</f>
        <v>0.5</v>
      </c>
      <c r="T13" s="4" t="n">
        <f aca="false">IFERROR(__xludf.dummyfunction("""COMPUTED_VALUE"""),8.9)</f>
        <v>8.9</v>
      </c>
      <c r="U13" s="3" t="n">
        <f aca="false">IFERROR(__xludf.dummyfunction("""COMPUTED_VALUE"""),3.5)</f>
        <v>3.5</v>
      </c>
      <c r="V13" s="3"/>
      <c r="W13" s="3"/>
      <c r="X13" s="4" t="n">
        <f aca="false">IFERROR(__xludf.dummyfunction("""COMPUTED_VALUE"""),9.75)</f>
        <v>9.75</v>
      </c>
      <c r="Y13" s="3" t="n">
        <f aca="false">IFERROR(__xludf.dummyfunction("""COMPUTED_VALUE"""),3)</f>
        <v>3</v>
      </c>
      <c r="Z13" s="3"/>
      <c r="AA13" s="3"/>
      <c r="AB13" s="4" t="n">
        <f aca="false">IFERROR(__xludf.dummyfunction("""COMPUTED_VALUE"""),10.45)</f>
        <v>10.45</v>
      </c>
      <c r="AC13" s="4" t="n">
        <f aca="false">IFERROR(__xludf.dummyfunction("""COMPUTED_VALUE"""),50)</f>
        <v>50</v>
      </c>
      <c r="AD13" s="3" t="n">
        <f aca="false">IFERROR(__xludf.dummyfunction("""COMPUTED_VALUE"""),11)</f>
        <v>11</v>
      </c>
    </row>
    <row r="14" customFormat="false" ht="15.7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customFormat="false" ht="15.7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customFormat="false" ht="15.7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customFormat="false" ht="15.75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customFormat="false" ht="15.7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customFormat="false" ht="15.7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customFormat="false" ht="15.75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customFormat="false" ht="15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customFormat="false" ht="15.7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customFormat="false" ht="15.7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customFormat="false" ht="15.7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customFormat="false" ht="15.7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customFormat="false" ht="15.7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customFormat="false" ht="15.7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customFormat="false" ht="15.7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customFormat="false" ht="15.7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customFormat="false" ht="15.7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customFormat="false" ht="15.7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customFormat="false" ht="15.7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customFormat="false" ht="15.7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customFormat="false" ht="15.7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customFormat="false" ht="15.7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customFormat="false" ht="15.7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customFormat="false" ht="15.7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customFormat="false" ht="15.7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customFormat="false" ht="15.7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</sheetData>
  <mergeCells count="1">
    <mergeCell ref="A1:AC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7.26"/>
    <col collapsed="false" customWidth="true" hidden="false" outlineLevel="0" max="3" min="3" style="0" width="7.63"/>
    <col collapsed="false" customWidth="true" hidden="false" outlineLevel="0" max="4" min="4" style="0" width="9.38"/>
    <col collapsed="false" customWidth="false" hidden="true" outlineLevel="0" max="5" min="5" style="0" width="12.63"/>
    <col collapsed="false" customWidth="true" hidden="false" outlineLevel="0" max="6" min="6" style="0" width="4.63"/>
    <col collapsed="false" customWidth="true" hidden="false" outlineLevel="0" max="7" min="7" style="0" width="3.5"/>
    <col collapsed="false" customWidth="true" hidden="false" outlineLevel="0" max="8" min="8" style="0" width="4.75"/>
    <col collapsed="false" customWidth="true" hidden="false" outlineLevel="0" max="9" min="9" style="0" width="4.63"/>
    <col collapsed="false" customWidth="true" hidden="false" outlineLevel="0" max="10" min="10" style="0" width="3.5"/>
    <col collapsed="false" customWidth="true" hidden="false" outlineLevel="0" max="11" min="11" style="0" width="4.75"/>
    <col collapsed="false" customWidth="true" hidden="false" outlineLevel="0" max="13" min="13" style="0" width="3.25"/>
    <col collapsed="false" customWidth="true" hidden="false" outlineLevel="0" max="14" min="14" style="0" width="2.12"/>
    <col collapsed="false" customWidth="true" hidden="false" outlineLevel="0" max="15" min="15" style="0" width="3.37"/>
    <col collapsed="false" customWidth="true" hidden="false" outlineLevel="0" max="17" min="17" style="0" width="3.25"/>
    <col collapsed="false" customWidth="true" hidden="false" outlineLevel="0" max="18" min="18" style="0" width="2.12"/>
    <col collapsed="false" customWidth="true" hidden="false" outlineLevel="0" max="19" min="19" style="0" width="3.37"/>
    <col collapsed="false" customWidth="true" hidden="false" outlineLevel="0" max="21" min="21" style="0" width="3.25"/>
    <col collapsed="false" customWidth="true" hidden="false" outlineLevel="0" max="22" min="22" style="0" width="2.12"/>
    <col collapsed="false" customWidth="true" hidden="false" outlineLevel="0" max="23" min="23" style="0" width="3.37"/>
    <col collapsed="false" customWidth="true" hidden="false" outlineLevel="0" max="25" min="25" style="0" width="3.25"/>
    <col collapsed="false" customWidth="true" hidden="false" outlineLevel="0" max="26" min="26" style="0" width="2.12"/>
    <col collapsed="false" customWidth="true" hidden="false" outlineLevel="0" max="27" min="27" style="0" width="3.37"/>
  </cols>
  <sheetData>
    <row r="1" customFormat="false" ht="15.75" hidden="false" customHeight="false" outlineLevel="0" collapsed="false">
      <c r="A1" s="1" t="str">
        <f aca="false">IFERROR(__xludf.dummyfunction("IMPORTRANGE(""https://docs.google.com/spreadsheets/d/12hYoABwbIKZWH999TWWKy4O4jwUQxKKoQeVE5C79uUA/edit#gid=145122673"",""Grade 2 Results!A1:AD40"")"),"Grade 2")</f>
        <v>Grade 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customFormat="false" ht="15.75" hidden="false" customHeight="false" outlineLevel="0" collapsed="false">
      <c r="A2" s="3" t="str">
        <f aca="false">IFERROR(__xludf.dummyfunction("""COMPUTED_VALUE"""),"No.")</f>
        <v>No.</v>
      </c>
      <c r="B2" s="3" t="str">
        <f aca="false">IFERROR(__xludf.dummyfunction("""COMPUTED_VALUE"""),"Name")</f>
        <v>Name</v>
      </c>
      <c r="C2" s="3"/>
      <c r="D2" s="3" t="str">
        <f aca="false">IFERROR(__xludf.dummyfunction("""COMPUTED_VALUE"""),"Club")</f>
        <v>Club</v>
      </c>
      <c r="E2" s="3" t="str">
        <f aca="false">IFERROR(__xludf.dummyfunction("""COMPUTED_VALUE"""),"Level")</f>
        <v>Level</v>
      </c>
      <c r="F2" s="3" t="str">
        <f aca="false">IFERROR(__xludf.dummyfunction("""COMPUTED_VALUE"""),"1 SV")</f>
        <v>1 SV</v>
      </c>
      <c r="G2" s="3" t="str">
        <f aca="false">IFERROR(__xludf.dummyfunction("""COMPUTED_VALUE"""),"1 B")</f>
        <v>1 B</v>
      </c>
      <c r="H2" s="3" t="str">
        <f aca="false">IFERROR(__xludf.dummyfunction("""COMPUTED_VALUE"""),"1 ND")</f>
        <v>1 ND</v>
      </c>
      <c r="I2" s="3" t="str">
        <f aca="false">IFERROR(__xludf.dummyfunction("""COMPUTED_VALUE"""),"2 SV")</f>
        <v>2 SV</v>
      </c>
      <c r="J2" s="3" t="str">
        <f aca="false">IFERROR(__xludf.dummyfunction("""COMPUTED_VALUE"""),"2 B")</f>
        <v>2 B</v>
      </c>
      <c r="K2" s="3" t="str">
        <f aca="false">IFERROR(__xludf.dummyfunction("""COMPUTED_VALUE"""),"2 ND")</f>
        <v>2 ND</v>
      </c>
      <c r="L2" s="3" t="str">
        <f aca="false">IFERROR(__xludf.dummyfunction("""COMPUTED_VALUE"""),"Vault")</f>
        <v>Vault</v>
      </c>
      <c r="M2" s="3" t="str">
        <f aca="false">IFERROR(__xludf.dummyfunction("""COMPUTED_VALUE"""),"SV")</f>
        <v>SV</v>
      </c>
      <c r="N2" s="3" t="str">
        <f aca="false">IFERROR(__xludf.dummyfunction("""COMPUTED_VALUE"""),"B")</f>
        <v>B</v>
      </c>
      <c r="O2" s="3" t="str">
        <f aca="false">IFERROR(__xludf.dummyfunction("""COMPUTED_VALUE"""),"ND")</f>
        <v>ND</v>
      </c>
      <c r="P2" s="3" t="str">
        <f aca="false">IFERROR(__xludf.dummyfunction("""COMPUTED_VALUE"""),"Bars")</f>
        <v>Bars</v>
      </c>
      <c r="Q2" s="3" t="str">
        <f aca="false">IFERROR(__xludf.dummyfunction("""COMPUTED_VALUE"""),"SV")</f>
        <v>SV</v>
      </c>
      <c r="R2" s="3" t="str">
        <f aca="false">IFERROR(__xludf.dummyfunction("""COMPUTED_VALUE"""),"B")</f>
        <v>B</v>
      </c>
      <c r="S2" s="3" t="str">
        <f aca="false">IFERROR(__xludf.dummyfunction("""COMPUTED_VALUE"""),"ND")</f>
        <v>ND</v>
      </c>
      <c r="T2" s="3" t="str">
        <f aca="false">IFERROR(__xludf.dummyfunction("""COMPUTED_VALUE"""),"Beam")</f>
        <v>Beam</v>
      </c>
      <c r="U2" s="3" t="str">
        <f aca="false">IFERROR(__xludf.dummyfunction("""COMPUTED_VALUE"""),"SV")</f>
        <v>SV</v>
      </c>
      <c r="V2" s="3" t="str">
        <f aca="false">IFERROR(__xludf.dummyfunction("""COMPUTED_VALUE"""),"B")</f>
        <v>B</v>
      </c>
      <c r="W2" s="3" t="str">
        <f aca="false">IFERROR(__xludf.dummyfunction("""COMPUTED_VALUE"""),"ND")</f>
        <v>ND</v>
      </c>
      <c r="X2" s="3" t="str">
        <f aca="false">IFERROR(__xludf.dummyfunction("""COMPUTED_VALUE"""),"Floor")</f>
        <v>Floor</v>
      </c>
      <c r="Y2" s="3" t="str">
        <f aca="false">IFERROR(__xludf.dummyfunction("""COMPUTED_VALUE"""),"SV")</f>
        <v>SV</v>
      </c>
      <c r="Z2" s="3" t="str">
        <f aca="false">IFERROR(__xludf.dummyfunction("""COMPUTED_VALUE"""),"B")</f>
        <v>B</v>
      </c>
      <c r="AA2" s="3" t="str">
        <f aca="false">IFERROR(__xludf.dummyfunction("""COMPUTED_VALUE"""),"ND")</f>
        <v>ND</v>
      </c>
      <c r="AB2" s="3" t="str">
        <f aca="false">IFERROR(__xludf.dummyfunction("""COMPUTED_VALUE"""),"R&amp;C")</f>
        <v>R&amp;C</v>
      </c>
      <c r="AC2" s="3" t="str">
        <f aca="false">IFERROR(__xludf.dummyfunction("""COMPUTED_VALUE"""),"Total")</f>
        <v>Total</v>
      </c>
      <c r="AD2" s="3" t="str">
        <f aca="false">IFERROR(__xludf.dummyfunction("""COMPUTED_VALUE"""),"Pos")</f>
        <v>Pos</v>
      </c>
    </row>
    <row r="3" customFormat="false" ht="15.75" hidden="false" customHeight="false" outlineLevel="0" collapsed="false">
      <c r="A3" s="3" t="n">
        <f aca="false">IFERROR(__xludf.dummyfunction("""COMPUTED_VALUE"""),16)</f>
        <v>16</v>
      </c>
      <c r="B3" s="3" t="str">
        <f aca="false">IFERROR(__xludf.dummyfunction("""COMPUTED_VALUE"""),"Lucy")</f>
        <v>Lucy</v>
      </c>
      <c r="C3" s="3" t="str">
        <f aca="false">IFERROR(__xludf.dummyfunction("""COMPUTED_VALUE"""),"Collins")</f>
        <v>Collins</v>
      </c>
      <c r="D3" s="3" t="str">
        <f aca="false">IFERROR(__xludf.dummyfunction("""COMPUTED_VALUE"""),"LEGA")</f>
        <v>LEGA</v>
      </c>
      <c r="E3" s="3" t="str">
        <f aca="false">IFERROR(__xludf.dummyfunction("""COMPUTED_VALUE"""),"Grade 2")</f>
        <v>Grade 2</v>
      </c>
      <c r="F3" s="3" t="n">
        <f aca="false">IFERROR(__xludf.dummyfunction("""COMPUTED_VALUE"""),4)</f>
        <v>4</v>
      </c>
      <c r="G3" s="3"/>
      <c r="H3" s="3"/>
      <c r="I3" s="3" t="n">
        <f aca="false">IFERROR(__xludf.dummyfunction("""COMPUTED_VALUE"""),4)</f>
        <v>4</v>
      </c>
      <c r="J3" s="3"/>
      <c r="K3" s="3"/>
      <c r="L3" s="4" t="n">
        <f aca="false">IFERROR(__xludf.dummyfunction("""COMPUTED_VALUE"""),12.8)</f>
        <v>12.8</v>
      </c>
      <c r="M3" s="3" t="n">
        <f aca="false">IFERROR(__xludf.dummyfunction("""COMPUTED_VALUE"""),4)</f>
        <v>4</v>
      </c>
      <c r="N3" s="3"/>
      <c r="O3" s="3"/>
      <c r="P3" s="4" t="n">
        <f aca="false">IFERROR(__xludf.dummyfunction("""COMPUTED_VALUE"""),11.65)</f>
        <v>11.65</v>
      </c>
      <c r="Q3" s="3" t="n">
        <f aca="false">IFERROR(__xludf.dummyfunction("""COMPUTED_VALUE"""),4)</f>
        <v>4</v>
      </c>
      <c r="R3" s="3"/>
      <c r="S3" s="3" t="n">
        <f aca="false">IFERROR(__xludf.dummyfunction("""COMPUTED_VALUE"""),0.5)</f>
        <v>0.5</v>
      </c>
      <c r="T3" s="4" t="n">
        <f aca="false">IFERROR(__xludf.dummyfunction("""COMPUTED_VALUE"""),10.2)</f>
        <v>10.2</v>
      </c>
      <c r="U3" s="3" t="n">
        <f aca="false">IFERROR(__xludf.dummyfunction("""COMPUTED_VALUE"""),4)</f>
        <v>4</v>
      </c>
      <c r="V3" s="3"/>
      <c r="W3" s="3"/>
      <c r="X3" s="4" t="n">
        <f aca="false">IFERROR(__xludf.dummyfunction("""COMPUTED_VALUE"""),11.55)</f>
        <v>11.55</v>
      </c>
      <c r="Y3" s="3" t="n">
        <f aca="false">IFERROR(__xludf.dummyfunction("""COMPUTED_VALUE"""),4)</f>
        <v>4</v>
      </c>
      <c r="Z3" s="3"/>
      <c r="AA3" s="3"/>
      <c r="AB3" s="4" t="n">
        <f aca="false">IFERROR(__xludf.dummyfunction("""COMPUTED_VALUE"""),13.35)</f>
        <v>13.35</v>
      </c>
      <c r="AC3" s="4" t="n">
        <f aca="false">IFERROR(__xludf.dummyfunction("""COMPUTED_VALUE"""),59.55)</f>
        <v>59.55</v>
      </c>
      <c r="AD3" s="3" t="n">
        <f aca="false">IFERROR(__xludf.dummyfunction("""COMPUTED_VALUE"""),2)</f>
        <v>2</v>
      </c>
    </row>
    <row r="4" customFormat="false" ht="15.75" hidden="false" customHeight="false" outlineLevel="0" collapsed="false">
      <c r="A4" s="7" t="n">
        <f aca="false">IFERROR(__xludf.dummyfunction("""COMPUTED_VALUE"""),17)</f>
        <v>17</v>
      </c>
      <c r="B4" s="7" t="str">
        <f aca="false">IFERROR(__xludf.dummyfunction("""COMPUTED_VALUE"""),"Eliza")</f>
        <v>Eliza</v>
      </c>
      <c r="C4" s="7" t="str">
        <f aca="false">IFERROR(__xludf.dummyfunction("""COMPUTED_VALUE"""),"Reid")</f>
        <v>Reid</v>
      </c>
      <c r="D4" s="7" t="str">
        <f aca="false">IFERROR(__xludf.dummyfunction("""COMPUTED_VALUE"""),"RGA")</f>
        <v>RGA</v>
      </c>
      <c r="E4" s="7" t="str">
        <f aca="false">IFERROR(__xludf.dummyfunction("""COMPUTED_VALUE"""),"Grade 2")</f>
        <v>Grade 2</v>
      </c>
      <c r="F4" s="7" t="n">
        <f aca="false">IFERROR(__xludf.dummyfunction("""COMPUTED_VALUE"""),4)</f>
        <v>4</v>
      </c>
      <c r="G4" s="7"/>
      <c r="H4" s="7"/>
      <c r="I4" s="7" t="n">
        <f aca="false">IFERROR(__xludf.dummyfunction("""COMPUTED_VALUE"""),4)</f>
        <v>4</v>
      </c>
      <c r="J4" s="7"/>
      <c r="K4" s="7"/>
      <c r="L4" s="8" t="n">
        <f aca="false">IFERROR(__xludf.dummyfunction("""COMPUTED_VALUE"""),12.45)</f>
        <v>12.45</v>
      </c>
      <c r="M4" s="7" t="n">
        <f aca="false">IFERROR(__xludf.dummyfunction("""COMPUTED_VALUE"""),4)</f>
        <v>4</v>
      </c>
      <c r="N4" s="7"/>
      <c r="O4" s="7"/>
      <c r="P4" s="8" t="n">
        <f aca="false">IFERROR(__xludf.dummyfunction("""COMPUTED_VALUE"""),9.65)</f>
        <v>9.65</v>
      </c>
      <c r="Q4" s="7" t="n">
        <f aca="false">IFERROR(__xludf.dummyfunction("""COMPUTED_VALUE"""),4)</f>
        <v>4</v>
      </c>
      <c r="R4" s="7"/>
      <c r="S4" s="7"/>
      <c r="T4" s="8" t="n">
        <f aca="false">IFERROR(__xludf.dummyfunction("""COMPUTED_VALUE"""),11.3)</f>
        <v>11.3</v>
      </c>
      <c r="U4" s="7" t="n">
        <f aca="false">IFERROR(__xludf.dummyfunction("""COMPUTED_VALUE"""),3.5)</f>
        <v>3.5</v>
      </c>
      <c r="V4" s="7"/>
      <c r="W4" s="7"/>
      <c r="X4" s="8" t="n">
        <f aca="false">IFERROR(__xludf.dummyfunction("""COMPUTED_VALUE"""),9.5)</f>
        <v>9.5</v>
      </c>
      <c r="Y4" s="7" t="n">
        <f aca="false">IFERROR(__xludf.dummyfunction("""COMPUTED_VALUE"""),3)</f>
        <v>3</v>
      </c>
      <c r="Z4" s="7"/>
      <c r="AA4" s="7"/>
      <c r="AB4" s="8" t="n">
        <f aca="false">IFERROR(__xludf.dummyfunction("""COMPUTED_VALUE"""),11.4)</f>
        <v>11.4</v>
      </c>
      <c r="AC4" s="8" t="n">
        <f aca="false">IFERROR(__xludf.dummyfunction("""COMPUTED_VALUE"""),54.3)</f>
        <v>54.3</v>
      </c>
      <c r="AD4" s="7" t="n">
        <f aca="false">IFERROR(__xludf.dummyfunction("""COMPUTED_VALUE"""),6)</f>
        <v>6</v>
      </c>
    </row>
    <row r="5" customFormat="false" ht="15.75" hidden="false" customHeight="false" outlineLevel="0" collapsed="false">
      <c r="A5" s="7" t="n">
        <f aca="false">IFERROR(__xludf.dummyfunction("""COMPUTED_VALUE"""),18)</f>
        <v>18</v>
      </c>
      <c r="B5" s="7" t="str">
        <f aca="false">IFERROR(__xludf.dummyfunction("""COMPUTED_VALUE"""),"Jasmine")</f>
        <v>Jasmine</v>
      </c>
      <c r="C5" s="7" t="str">
        <f aca="false">IFERROR(__xludf.dummyfunction("""COMPUTED_VALUE"""),"Gao")</f>
        <v>Gao</v>
      </c>
      <c r="D5" s="7" t="str">
        <f aca="false">IFERROR(__xludf.dummyfunction("""COMPUTED_VALUE"""),"RGA")</f>
        <v>RGA</v>
      </c>
      <c r="E5" s="7" t="str">
        <f aca="false">IFERROR(__xludf.dummyfunction("""COMPUTED_VALUE"""),"Grade 2")</f>
        <v>Grade 2</v>
      </c>
      <c r="F5" s="7" t="n">
        <f aca="false">IFERROR(__xludf.dummyfunction("""COMPUTED_VALUE"""),4)</f>
        <v>4</v>
      </c>
      <c r="G5" s="7"/>
      <c r="H5" s="7"/>
      <c r="I5" s="7" t="n">
        <f aca="false">IFERROR(__xludf.dummyfunction("""COMPUTED_VALUE"""),4)</f>
        <v>4</v>
      </c>
      <c r="J5" s="7"/>
      <c r="K5" s="7"/>
      <c r="L5" s="8" t="n">
        <f aca="false">IFERROR(__xludf.dummyfunction("""COMPUTED_VALUE"""),12.8)</f>
        <v>12.8</v>
      </c>
      <c r="M5" s="7" t="n">
        <f aca="false">IFERROR(__xludf.dummyfunction("""COMPUTED_VALUE"""),4)</f>
        <v>4</v>
      </c>
      <c r="N5" s="7"/>
      <c r="O5" s="7"/>
      <c r="P5" s="8" t="n">
        <f aca="false">IFERROR(__xludf.dummyfunction("""COMPUTED_VALUE"""),11.95)</f>
        <v>11.95</v>
      </c>
      <c r="Q5" s="7" t="n">
        <f aca="false">IFERROR(__xludf.dummyfunction("""COMPUTED_VALUE"""),4)</f>
        <v>4</v>
      </c>
      <c r="R5" s="7"/>
      <c r="S5" s="7" t="n">
        <f aca="false">IFERROR(__xludf.dummyfunction("""COMPUTED_VALUE"""),0.5)</f>
        <v>0.5</v>
      </c>
      <c r="T5" s="8" t="n">
        <f aca="false">IFERROR(__xludf.dummyfunction("""COMPUTED_VALUE"""),8.9)</f>
        <v>8.9</v>
      </c>
      <c r="U5" s="7" t="n">
        <f aca="false">IFERROR(__xludf.dummyfunction("""COMPUTED_VALUE"""),4)</f>
        <v>4</v>
      </c>
      <c r="V5" s="7"/>
      <c r="W5" s="7"/>
      <c r="X5" s="8" t="n">
        <f aca="false">IFERROR(__xludf.dummyfunction("""COMPUTED_VALUE"""),10.55)</f>
        <v>10.55</v>
      </c>
      <c r="Y5" s="7" t="n">
        <f aca="false">IFERROR(__xludf.dummyfunction("""COMPUTED_VALUE"""),4)</f>
        <v>4</v>
      </c>
      <c r="Z5" s="7"/>
      <c r="AA5" s="7"/>
      <c r="AB5" s="8" t="n">
        <f aca="false">IFERROR(__xludf.dummyfunction("""COMPUTED_VALUE"""),13.15)</f>
        <v>13.15</v>
      </c>
      <c r="AC5" s="8" t="n">
        <f aca="false">IFERROR(__xludf.dummyfunction("""COMPUTED_VALUE"""),57.35)</f>
        <v>57.35</v>
      </c>
      <c r="AD5" s="7" t="n">
        <f aca="false">IFERROR(__xludf.dummyfunction("""COMPUTED_VALUE"""),3)</f>
        <v>3</v>
      </c>
    </row>
    <row r="6" customFormat="false" ht="15.75" hidden="false" customHeight="false" outlineLevel="0" collapsed="false">
      <c r="A6" s="3" t="n">
        <f aca="false">IFERROR(__xludf.dummyfunction("""COMPUTED_VALUE"""),19)</f>
        <v>19</v>
      </c>
      <c r="B6" s="3" t="str">
        <f aca="false">IFERROR(__xludf.dummyfunction("""COMPUTED_VALUE"""),"Daisy")</f>
        <v>Daisy</v>
      </c>
      <c r="C6" s="3" t="str">
        <f aca="false">IFERROR(__xludf.dummyfunction("""COMPUTED_VALUE"""),"Newman")</f>
        <v>Newman</v>
      </c>
      <c r="D6" s="3" t="str">
        <f aca="false">IFERROR(__xludf.dummyfunction("""COMPUTED_VALUE"""),"WAT GC")</f>
        <v>WAT GC</v>
      </c>
      <c r="E6" s="3" t="str">
        <f aca="false">IFERROR(__xludf.dummyfunction("""COMPUTED_VALUE"""),"Grade 2")</f>
        <v>Grade 2</v>
      </c>
      <c r="F6" s="3" t="n">
        <f aca="false">IFERROR(__xludf.dummyfunction("""COMPUTED_VALUE"""),0)</f>
        <v>0</v>
      </c>
      <c r="G6" s="3"/>
      <c r="H6" s="3"/>
      <c r="I6" s="3" t="n">
        <f aca="false">IFERROR(__xludf.dummyfunction("""COMPUTED_VALUE"""),0)</f>
        <v>0</v>
      </c>
      <c r="J6" s="3"/>
      <c r="K6" s="3"/>
      <c r="L6" s="4" t="n">
        <f aca="false">IFERROR(__xludf.dummyfunction("""COMPUTED_VALUE"""),0)</f>
        <v>0</v>
      </c>
      <c r="M6" s="3"/>
      <c r="N6" s="3"/>
      <c r="O6" s="3"/>
      <c r="P6" s="4" t="n">
        <f aca="false">IFERROR(__xludf.dummyfunction("""COMPUTED_VALUE"""),0)</f>
        <v>0</v>
      </c>
      <c r="Q6" s="3"/>
      <c r="R6" s="3"/>
      <c r="S6" s="3"/>
      <c r="T6" s="4" t="n">
        <f aca="false">IFERROR(__xludf.dummyfunction("""COMPUTED_VALUE"""),0)</f>
        <v>0</v>
      </c>
      <c r="U6" s="3"/>
      <c r="V6" s="3"/>
      <c r="W6" s="3"/>
      <c r="X6" s="4" t="n">
        <f aca="false">IFERROR(__xludf.dummyfunction("""COMPUTED_VALUE"""),0)</f>
        <v>0</v>
      </c>
      <c r="Y6" s="3"/>
      <c r="Z6" s="3"/>
      <c r="AA6" s="3"/>
      <c r="AB6" s="4" t="n">
        <f aca="false">IFERROR(__xludf.dummyfunction("""COMPUTED_VALUE"""),0)</f>
        <v>0</v>
      </c>
      <c r="AC6" s="4" t="n">
        <f aca="false">IFERROR(__xludf.dummyfunction("""COMPUTED_VALUE"""),0)</f>
        <v>0</v>
      </c>
      <c r="AD6" s="3" t="n">
        <f aca="false">IFERROR(__xludf.dummyfunction("""COMPUTED_VALUE"""),9)</f>
        <v>9</v>
      </c>
    </row>
    <row r="7" customFormat="false" ht="15.75" hidden="false" customHeight="false" outlineLevel="0" collapsed="false">
      <c r="A7" s="3" t="n">
        <f aca="false">IFERROR(__xludf.dummyfunction("""COMPUTED_VALUE"""),20)</f>
        <v>20</v>
      </c>
      <c r="B7" s="3" t="str">
        <f aca="false">IFERROR(__xludf.dummyfunction("""COMPUTED_VALUE"""),"Martina")</f>
        <v>Martina</v>
      </c>
      <c r="C7" s="3" t="str">
        <f aca="false">IFERROR(__xludf.dummyfunction("""COMPUTED_VALUE"""),"Zlateva")</f>
        <v>Zlateva</v>
      </c>
      <c r="D7" s="3" t="str">
        <f aca="false">IFERROR(__xludf.dummyfunction("""COMPUTED_VALUE"""),"ALTON GC")</f>
        <v>ALTON GC</v>
      </c>
      <c r="E7" s="3" t="str">
        <f aca="false">IFERROR(__xludf.dummyfunction("""COMPUTED_VALUE"""),"Grade 2")</f>
        <v>Grade 2</v>
      </c>
      <c r="F7" s="3" t="n">
        <f aca="false">IFERROR(__xludf.dummyfunction("""COMPUTED_VALUE"""),3)</f>
        <v>3</v>
      </c>
      <c r="G7" s="3"/>
      <c r="H7" s="3"/>
      <c r="I7" s="3" t="n">
        <f aca="false">IFERROR(__xludf.dummyfunction("""COMPUTED_VALUE"""),3)</f>
        <v>3</v>
      </c>
      <c r="J7" s="3"/>
      <c r="K7" s="3"/>
      <c r="L7" s="4" t="n">
        <f aca="false">IFERROR(__xludf.dummyfunction("""COMPUTED_VALUE"""),11.35)</f>
        <v>11.35</v>
      </c>
      <c r="M7" s="3" t="n">
        <f aca="false">IFERROR(__xludf.dummyfunction("""COMPUTED_VALUE"""),4)</f>
        <v>4</v>
      </c>
      <c r="N7" s="3"/>
      <c r="O7" s="3"/>
      <c r="P7" s="4" t="n">
        <f aca="false">IFERROR(__xludf.dummyfunction("""COMPUTED_VALUE"""),10.2)</f>
        <v>10.2</v>
      </c>
      <c r="Q7" s="3" t="n">
        <f aca="false">IFERROR(__xludf.dummyfunction("""COMPUTED_VALUE"""),4)</f>
        <v>4</v>
      </c>
      <c r="R7" s="3"/>
      <c r="S7" s="3" t="n">
        <f aca="false">IFERROR(__xludf.dummyfunction("""COMPUTED_VALUE"""),0.5)</f>
        <v>0.5</v>
      </c>
      <c r="T7" s="4" t="n">
        <f aca="false">IFERROR(__xludf.dummyfunction("""COMPUTED_VALUE"""),10.7)</f>
        <v>10.7</v>
      </c>
      <c r="U7" s="3" t="n">
        <f aca="false">IFERROR(__xludf.dummyfunction("""COMPUTED_VALUE"""),4)</f>
        <v>4</v>
      </c>
      <c r="V7" s="3"/>
      <c r="W7" s="3"/>
      <c r="X7" s="4" t="n">
        <f aca="false">IFERROR(__xludf.dummyfunction("""COMPUTED_VALUE"""),11.4)</f>
        <v>11.4</v>
      </c>
      <c r="Y7" s="3" t="n">
        <f aca="false">IFERROR(__xludf.dummyfunction("""COMPUTED_VALUE"""),4)</f>
        <v>4</v>
      </c>
      <c r="Z7" s="3"/>
      <c r="AA7" s="3"/>
      <c r="AB7" s="4" t="n">
        <f aca="false">IFERROR(__xludf.dummyfunction("""COMPUTED_VALUE"""),12.6)</f>
        <v>12.6</v>
      </c>
      <c r="AC7" s="4" t="n">
        <f aca="false">IFERROR(__xludf.dummyfunction("""COMPUTED_VALUE"""),56.25)</f>
        <v>56.25</v>
      </c>
      <c r="AD7" s="3" t="n">
        <f aca="false">IFERROR(__xludf.dummyfunction("""COMPUTED_VALUE"""),5)</f>
        <v>5</v>
      </c>
    </row>
    <row r="8" customFormat="false" ht="15.75" hidden="false" customHeight="false" outlineLevel="0" collapsed="false">
      <c r="A8" s="3" t="n">
        <f aca="false">IFERROR(__xludf.dummyfunction("""COMPUTED_VALUE"""),21)</f>
        <v>21</v>
      </c>
      <c r="B8" s="3" t="str">
        <f aca="false">IFERROR(__xludf.dummyfunction("""COMPUTED_VALUE"""),"Saffira")</f>
        <v>Saffira</v>
      </c>
      <c r="C8" s="3" t="str">
        <f aca="false">IFERROR(__xludf.dummyfunction("""COMPUTED_VALUE"""),"Barkley")</f>
        <v>Barkley</v>
      </c>
      <c r="D8" s="3" t="str">
        <f aca="false">IFERROR(__xludf.dummyfunction("""COMPUTED_VALUE"""),"DYN SG")</f>
        <v>DYN SG</v>
      </c>
      <c r="E8" s="3" t="str">
        <f aca="false">IFERROR(__xludf.dummyfunction("""COMPUTED_VALUE"""),"Grade 2")</f>
        <v>Grade 2</v>
      </c>
      <c r="F8" s="3" t="n">
        <f aca="false">IFERROR(__xludf.dummyfunction("""COMPUTED_VALUE"""),4)</f>
        <v>4</v>
      </c>
      <c r="G8" s="3"/>
      <c r="H8" s="3"/>
      <c r="I8" s="3" t="n">
        <f aca="false">IFERROR(__xludf.dummyfunction("""COMPUTED_VALUE"""),4)</f>
        <v>4</v>
      </c>
      <c r="J8" s="3"/>
      <c r="K8" s="3"/>
      <c r="L8" s="4" t="n">
        <f aca="false">IFERROR(__xludf.dummyfunction("""COMPUTED_VALUE"""),11.9)</f>
        <v>11.9</v>
      </c>
      <c r="M8" s="3" t="n">
        <f aca="false">IFERROR(__xludf.dummyfunction("""COMPUTED_VALUE"""),4)</f>
        <v>4</v>
      </c>
      <c r="N8" s="3"/>
      <c r="O8" s="3"/>
      <c r="P8" s="4" t="n">
        <f aca="false">IFERROR(__xludf.dummyfunction("""COMPUTED_VALUE"""),12.4)</f>
        <v>12.4</v>
      </c>
      <c r="Q8" s="3" t="n">
        <f aca="false">IFERROR(__xludf.dummyfunction("""COMPUTED_VALUE"""),3.5)</f>
        <v>3.5</v>
      </c>
      <c r="R8" s="3"/>
      <c r="S8" s="3" t="n">
        <f aca="false">IFERROR(__xludf.dummyfunction("""COMPUTED_VALUE"""),1)</f>
        <v>1</v>
      </c>
      <c r="T8" s="4" t="n">
        <f aca="false">IFERROR(__xludf.dummyfunction("""COMPUTED_VALUE"""),6.7)</f>
        <v>6.7</v>
      </c>
      <c r="U8" s="3" t="n">
        <f aca="false">IFERROR(__xludf.dummyfunction("""COMPUTED_VALUE"""),3.5)</f>
        <v>3.5</v>
      </c>
      <c r="V8" s="3"/>
      <c r="W8" s="3"/>
      <c r="X8" s="4" t="n">
        <f aca="false">IFERROR(__xludf.dummyfunction("""COMPUTED_VALUE"""),8.1)</f>
        <v>8.1</v>
      </c>
      <c r="Y8" s="3" t="n">
        <f aca="false">IFERROR(__xludf.dummyfunction("""COMPUTED_VALUE"""),2.5)</f>
        <v>2.5</v>
      </c>
      <c r="Z8" s="3"/>
      <c r="AA8" s="3"/>
      <c r="AB8" s="4" t="n">
        <f aca="false">IFERROR(__xludf.dummyfunction("""COMPUTED_VALUE"""),9.35)</f>
        <v>9.35</v>
      </c>
      <c r="AC8" s="4" t="n">
        <f aca="false">IFERROR(__xludf.dummyfunction("""COMPUTED_VALUE"""),48.45)</f>
        <v>48.45</v>
      </c>
      <c r="AD8" s="3" t="n">
        <f aca="false">IFERROR(__xludf.dummyfunction("""COMPUTED_VALUE"""),8)</f>
        <v>8</v>
      </c>
    </row>
    <row r="9" customFormat="false" ht="15.75" hidden="false" customHeight="false" outlineLevel="0" collapsed="false">
      <c r="A9" s="3" t="n">
        <f aca="false">IFERROR(__xludf.dummyfunction("""COMPUTED_VALUE"""),22)</f>
        <v>22</v>
      </c>
      <c r="B9" s="3" t="str">
        <f aca="false">IFERROR(__xludf.dummyfunction("""COMPUTED_VALUE"""),"Lillian")</f>
        <v>Lillian</v>
      </c>
      <c r="C9" s="3" t="str">
        <f aca="false">IFERROR(__xludf.dummyfunction("""COMPUTED_VALUE"""),"Smith")</f>
        <v>Smith</v>
      </c>
      <c r="D9" s="3" t="str">
        <f aca="false">IFERROR(__xludf.dummyfunction("""COMPUTED_VALUE"""),"DYN SG")</f>
        <v>DYN SG</v>
      </c>
      <c r="E9" s="3" t="str">
        <f aca="false">IFERROR(__xludf.dummyfunction("""COMPUTED_VALUE"""),"Grade 2")</f>
        <v>Grade 2</v>
      </c>
      <c r="F9" s="3" t="n">
        <f aca="false">IFERROR(__xludf.dummyfunction("""COMPUTED_VALUE"""),4)</f>
        <v>4</v>
      </c>
      <c r="G9" s="3"/>
      <c r="H9" s="3"/>
      <c r="I9" s="3" t="n">
        <f aca="false">IFERROR(__xludf.dummyfunction("""COMPUTED_VALUE"""),4)</f>
        <v>4</v>
      </c>
      <c r="J9" s="3"/>
      <c r="K9" s="3"/>
      <c r="L9" s="4" t="n">
        <f aca="false">IFERROR(__xludf.dummyfunction("""COMPUTED_VALUE"""),12.6)</f>
        <v>12.6</v>
      </c>
      <c r="M9" s="3" t="n">
        <f aca="false">IFERROR(__xludf.dummyfunction("""COMPUTED_VALUE"""),4)</f>
        <v>4</v>
      </c>
      <c r="N9" s="3"/>
      <c r="O9" s="3"/>
      <c r="P9" s="4" t="n">
        <f aca="false">IFERROR(__xludf.dummyfunction("""COMPUTED_VALUE"""),11.75)</f>
        <v>11.75</v>
      </c>
      <c r="Q9" s="3" t="n">
        <f aca="false">IFERROR(__xludf.dummyfunction("""COMPUTED_VALUE"""),4)</f>
        <v>4</v>
      </c>
      <c r="R9" s="3"/>
      <c r="S9" s="3" t="n">
        <f aca="false">IFERROR(__xludf.dummyfunction("""COMPUTED_VALUE"""),0.5)</f>
        <v>0.5</v>
      </c>
      <c r="T9" s="4" t="n">
        <f aca="false">IFERROR(__xludf.dummyfunction("""COMPUTED_VALUE"""),9.8)</f>
        <v>9.8</v>
      </c>
      <c r="U9" s="3" t="n">
        <f aca="false">IFERROR(__xludf.dummyfunction("""COMPUTED_VALUE"""),3.5)</f>
        <v>3.5</v>
      </c>
      <c r="V9" s="3"/>
      <c r="W9" s="3"/>
      <c r="X9" s="4" t="n">
        <f aca="false">IFERROR(__xludf.dummyfunction("""COMPUTED_VALUE"""),7.6)</f>
        <v>7.6</v>
      </c>
      <c r="Y9" s="3" t="n">
        <f aca="false">IFERROR(__xludf.dummyfunction("""COMPUTED_VALUE"""),3.5)</f>
        <v>3.5</v>
      </c>
      <c r="Z9" s="3"/>
      <c r="AA9" s="3"/>
      <c r="AB9" s="4" t="n">
        <f aca="false">IFERROR(__xludf.dummyfunction("""COMPUTED_VALUE"""),10.3)</f>
        <v>10.3</v>
      </c>
      <c r="AC9" s="4" t="n">
        <f aca="false">IFERROR(__xludf.dummyfunction("""COMPUTED_VALUE"""),52.05)</f>
        <v>52.05</v>
      </c>
      <c r="AD9" s="3" t="n">
        <f aca="false">IFERROR(__xludf.dummyfunction("""COMPUTED_VALUE"""),7)</f>
        <v>7</v>
      </c>
    </row>
    <row r="10" customFormat="false" ht="15.75" hidden="false" customHeight="false" outlineLevel="0" collapsed="false">
      <c r="A10" s="3" t="n">
        <f aca="false">IFERROR(__xludf.dummyfunction("""COMPUTED_VALUE"""),23)</f>
        <v>23</v>
      </c>
      <c r="B10" s="3" t="str">
        <f aca="false">IFERROR(__xludf.dummyfunction("""COMPUTED_VALUE"""),"Sophie")</f>
        <v>Sophie</v>
      </c>
      <c r="C10" s="3" t="str">
        <f aca="false">IFERROR(__xludf.dummyfunction("""COMPUTED_VALUE"""),"Pitcher")</f>
        <v>Pitcher</v>
      </c>
      <c r="D10" s="3" t="str">
        <f aca="false">IFERROR(__xludf.dummyfunction("""COMPUTED_VALUE"""),"FSG")</f>
        <v>FSG</v>
      </c>
      <c r="E10" s="3" t="str">
        <f aca="false">IFERROR(__xludf.dummyfunction("""COMPUTED_VALUE"""),"Grade 2")</f>
        <v>Grade 2</v>
      </c>
      <c r="F10" s="3" t="n">
        <f aca="false">IFERROR(__xludf.dummyfunction("""COMPUTED_VALUE"""),4)</f>
        <v>4</v>
      </c>
      <c r="G10" s="3"/>
      <c r="H10" s="3"/>
      <c r="I10" s="3" t="n">
        <f aca="false">IFERROR(__xludf.dummyfunction("""COMPUTED_VALUE"""),4)</f>
        <v>4</v>
      </c>
      <c r="J10" s="3"/>
      <c r="K10" s="3"/>
      <c r="L10" s="4" t="n">
        <f aca="false">IFERROR(__xludf.dummyfunction("""COMPUTED_VALUE"""),12.75)</f>
        <v>12.75</v>
      </c>
      <c r="M10" s="3" t="n">
        <f aca="false">IFERROR(__xludf.dummyfunction("""COMPUTED_VALUE"""),4)</f>
        <v>4</v>
      </c>
      <c r="N10" s="3"/>
      <c r="O10" s="3"/>
      <c r="P10" s="4" t="n">
        <f aca="false">IFERROR(__xludf.dummyfunction("""COMPUTED_VALUE"""),10.6)</f>
        <v>10.6</v>
      </c>
      <c r="Q10" s="3" t="n">
        <f aca="false">IFERROR(__xludf.dummyfunction("""COMPUTED_VALUE"""),3.5)</f>
        <v>3.5</v>
      </c>
      <c r="R10" s="3"/>
      <c r="S10" s="3"/>
      <c r="T10" s="4" t="n">
        <f aca="false">IFERROR(__xludf.dummyfunction("""COMPUTED_VALUE"""),10.4)</f>
        <v>10.4</v>
      </c>
      <c r="U10" s="3" t="n">
        <f aca="false">IFERROR(__xludf.dummyfunction("""COMPUTED_VALUE"""),4)</f>
        <v>4</v>
      </c>
      <c r="V10" s="3"/>
      <c r="W10" s="3"/>
      <c r="X10" s="4" t="n">
        <f aca="false">IFERROR(__xludf.dummyfunction("""COMPUTED_VALUE"""),10.9)</f>
        <v>10.9</v>
      </c>
      <c r="Y10" s="3" t="n">
        <f aca="false">IFERROR(__xludf.dummyfunction("""COMPUTED_VALUE"""),3.5)</f>
        <v>3.5</v>
      </c>
      <c r="Z10" s="3"/>
      <c r="AA10" s="3"/>
      <c r="AB10" s="4" t="n">
        <f aca="false">IFERROR(__xludf.dummyfunction("""COMPUTED_VALUE"""),12.35)</f>
        <v>12.35</v>
      </c>
      <c r="AC10" s="4" t="n">
        <f aca="false">IFERROR(__xludf.dummyfunction("""COMPUTED_VALUE"""),57)</f>
        <v>57</v>
      </c>
      <c r="AD10" s="3" t="n">
        <f aca="false">IFERROR(__xludf.dummyfunction("""COMPUTED_VALUE"""),4)</f>
        <v>4</v>
      </c>
    </row>
    <row r="11" customFormat="false" ht="15.75" hidden="false" customHeight="false" outlineLevel="0" collapsed="false">
      <c r="A11" s="3" t="n">
        <f aca="false">IFERROR(__xludf.dummyfunction("""COMPUTED_VALUE"""),24)</f>
        <v>24</v>
      </c>
      <c r="B11" s="3" t="str">
        <f aca="false">IFERROR(__xludf.dummyfunction("""COMPUTED_VALUE"""),"Holly")</f>
        <v>Holly</v>
      </c>
      <c r="C11" s="3" t="str">
        <f aca="false">IFERROR(__xludf.dummyfunction("""COMPUTED_VALUE"""),"Jelley")</f>
        <v>Jelley</v>
      </c>
      <c r="D11" s="3" t="str">
        <f aca="false">IFERROR(__xludf.dummyfunction("""COMPUTED_VALUE"""),"FLEX GC")</f>
        <v>FLEX GC</v>
      </c>
      <c r="E11" s="3" t="str">
        <f aca="false">IFERROR(__xludf.dummyfunction("""COMPUTED_VALUE"""),"Grade 2")</f>
        <v>Grade 2</v>
      </c>
      <c r="F11" s="3" t="n">
        <f aca="false">IFERROR(__xludf.dummyfunction("""COMPUTED_VALUE"""),4)</f>
        <v>4</v>
      </c>
      <c r="G11" s="3"/>
      <c r="H11" s="3"/>
      <c r="I11" s="3" t="n">
        <f aca="false">IFERROR(__xludf.dummyfunction("""COMPUTED_VALUE"""),4)</f>
        <v>4</v>
      </c>
      <c r="J11" s="3"/>
      <c r="K11" s="3"/>
      <c r="L11" s="4" t="n">
        <f aca="false">IFERROR(__xludf.dummyfunction("""COMPUTED_VALUE"""),12.35)</f>
        <v>12.35</v>
      </c>
      <c r="M11" s="3" t="n">
        <f aca="false">IFERROR(__xludf.dummyfunction("""COMPUTED_VALUE"""),4)</f>
        <v>4</v>
      </c>
      <c r="N11" s="3"/>
      <c r="O11" s="3"/>
      <c r="P11" s="4" t="n">
        <f aca="false">IFERROR(__xludf.dummyfunction("""COMPUTED_VALUE"""),12.35)</f>
        <v>12.35</v>
      </c>
      <c r="Q11" s="3" t="n">
        <f aca="false">IFERROR(__xludf.dummyfunction("""COMPUTED_VALUE"""),4)</f>
        <v>4</v>
      </c>
      <c r="R11" s="3"/>
      <c r="S11" s="3"/>
      <c r="T11" s="4" t="n">
        <f aca="false">IFERROR(__xludf.dummyfunction("""COMPUTED_VALUE"""),11.9)</f>
        <v>11.9</v>
      </c>
      <c r="U11" s="3" t="n">
        <f aca="false">IFERROR(__xludf.dummyfunction("""COMPUTED_VALUE"""),4)</f>
        <v>4</v>
      </c>
      <c r="V11" s="3"/>
      <c r="W11" s="3"/>
      <c r="X11" s="4" t="n">
        <f aca="false">IFERROR(__xludf.dummyfunction("""COMPUTED_VALUE"""),11.25)</f>
        <v>11.25</v>
      </c>
      <c r="Y11" s="3" t="n">
        <f aca="false">IFERROR(__xludf.dummyfunction("""COMPUTED_VALUE"""),4)</f>
        <v>4</v>
      </c>
      <c r="Z11" s="3"/>
      <c r="AA11" s="3"/>
      <c r="AB11" s="4" t="n">
        <f aca="false">IFERROR(__xludf.dummyfunction("""COMPUTED_VALUE"""),12.85)</f>
        <v>12.85</v>
      </c>
      <c r="AC11" s="4" t="n">
        <f aca="false">IFERROR(__xludf.dummyfunction("""COMPUTED_VALUE"""),60.7)</f>
        <v>60.7</v>
      </c>
      <c r="AD11" s="3" t="n">
        <f aca="false">IFERROR(__xludf.dummyfunction("""COMPUTED_VALUE"""),1)</f>
        <v>1</v>
      </c>
    </row>
    <row r="12" customFormat="false" ht="15.75" hidden="false" customHeight="fals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customFormat="false" ht="15.75" hidden="fals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customFormat="false" ht="15.7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customFormat="false" ht="15.75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customFormat="false" ht="15.75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customFormat="false" ht="15.75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customFormat="false" ht="15.7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customFormat="false" ht="15.7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customFormat="false" ht="15.75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customFormat="false" ht="15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customFormat="false" ht="15.75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customFormat="false" ht="15.75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customFormat="false" ht="15.7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customFormat="false" ht="15.7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customFormat="false" ht="15.7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customFormat="false" ht="15.7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customFormat="false" ht="15.7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customFormat="false" ht="15.75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customFormat="false" ht="15.7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customFormat="false" ht="15.7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customFormat="false" ht="15.75" hidden="false" customHeight="fals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customFormat="false" ht="15.7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customFormat="false" ht="15.7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customFormat="false" ht="15.7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customFormat="false" ht="15.7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customFormat="false" ht="15.7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customFormat="false" ht="15.7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customFormat="false" ht="15.7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customFormat="false" ht="15.7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</sheetData>
  <mergeCells count="1">
    <mergeCell ref="A1:AD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4.13"/>
    <col collapsed="false" customWidth="true" hidden="false" outlineLevel="0" max="2" min="2" style="0" width="11.38"/>
    <col collapsed="false" customWidth="true" hidden="false" outlineLevel="0" max="3" min="3" style="0" width="9.13"/>
    <col collapsed="false" customWidth="true" hidden="false" outlineLevel="0" max="4" min="4" style="0" width="9.38"/>
    <col collapsed="false" customWidth="false" hidden="true" outlineLevel="0" max="5" min="5" style="0" width="12.63"/>
    <col collapsed="false" customWidth="true" hidden="false" outlineLevel="0" max="6" min="6" style="0" width="4.63"/>
    <col collapsed="false" customWidth="true" hidden="false" outlineLevel="0" max="7" min="7" style="0" width="3.5"/>
    <col collapsed="false" customWidth="true" hidden="false" outlineLevel="0" max="8" min="8" style="0" width="4.75"/>
    <col collapsed="false" customWidth="true" hidden="false" outlineLevel="0" max="9" min="9" style="0" width="4.63"/>
    <col collapsed="false" customWidth="true" hidden="false" outlineLevel="0" max="10" min="10" style="0" width="3.5"/>
    <col collapsed="false" customWidth="true" hidden="false" outlineLevel="0" max="11" min="11" style="0" width="4.75"/>
    <col collapsed="false" customWidth="true" hidden="false" outlineLevel="0" max="13" min="13" style="0" width="3.25"/>
    <col collapsed="false" customWidth="true" hidden="false" outlineLevel="0" max="14" min="14" style="0" width="2.12"/>
    <col collapsed="false" customWidth="true" hidden="false" outlineLevel="0" max="15" min="15" style="0" width="3.37"/>
    <col collapsed="false" customWidth="true" hidden="false" outlineLevel="0" max="21" min="21" style="0" width="3.25"/>
    <col collapsed="false" customWidth="true" hidden="false" outlineLevel="0" max="22" min="22" style="0" width="2.12"/>
    <col collapsed="false" customWidth="true" hidden="false" outlineLevel="0" max="23" min="23" style="0" width="3.37"/>
    <col collapsed="false" customWidth="true" hidden="false" outlineLevel="0" max="25" min="25" style="0" width="3.25"/>
    <col collapsed="false" customWidth="true" hidden="false" outlineLevel="0" max="26" min="26" style="0" width="2.12"/>
    <col collapsed="false" customWidth="true" hidden="false" outlineLevel="0" max="27" min="27" style="0" width="3.37"/>
  </cols>
  <sheetData>
    <row r="1" customFormat="false" ht="15.75" hidden="false" customHeight="false" outlineLevel="0" collapsed="false">
      <c r="A1" s="1" t="str">
        <f aca="false">IFERROR(__xludf.dummyfunction("IMPORTRANGE(""https://docs.google.com/spreadsheets/d/12hYoABwbIKZWH999TWWKy4O4jwUQxKKoQeVE5C79uUA/edit#gid=145122673"",""Grade 3 Results!A1:AD21"")"),"Grade 3")</f>
        <v>Grade 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customFormat="false" ht="15.75" hidden="false" customHeight="false" outlineLevel="0" collapsed="false">
      <c r="A2" s="3" t="str">
        <f aca="false">IFERROR(__xludf.dummyfunction("""COMPUTED_VALUE"""),"No.")</f>
        <v>No.</v>
      </c>
      <c r="B2" s="3" t="str">
        <f aca="false">IFERROR(__xludf.dummyfunction("""COMPUTED_VALUE"""),"Name")</f>
        <v>Name</v>
      </c>
      <c r="C2" s="3"/>
      <c r="D2" s="3" t="str">
        <f aca="false">IFERROR(__xludf.dummyfunction("""COMPUTED_VALUE"""),"Club")</f>
        <v>Club</v>
      </c>
      <c r="E2" s="3" t="str">
        <f aca="false">IFERROR(__xludf.dummyfunction("""COMPUTED_VALUE"""),"Level")</f>
        <v>Level</v>
      </c>
      <c r="F2" s="3" t="str">
        <f aca="false">IFERROR(__xludf.dummyfunction("""COMPUTED_VALUE"""),"1 SV")</f>
        <v>1 SV</v>
      </c>
      <c r="G2" s="3" t="str">
        <f aca="false">IFERROR(__xludf.dummyfunction("""COMPUTED_VALUE"""),"1 B")</f>
        <v>1 B</v>
      </c>
      <c r="H2" s="3" t="str">
        <f aca="false">IFERROR(__xludf.dummyfunction("""COMPUTED_VALUE"""),"1 ND")</f>
        <v>1 ND</v>
      </c>
      <c r="I2" s="3" t="str">
        <f aca="false">IFERROR(__xludf.dummyfunction("""COMPUTED_VALUE"""),"2 SV")</f>
        <v>2 SV</v>
      </c>
      <c r="J2" s="3" t="str">
        <f aca="false">IFERROR(__xludf.dummyfunction("""COMPUTED_VALUE"""),"2 B")</f>
        <v>2 B</v>
      </c>
      <c r="K2" s="3" t="str">
        <f aca="false">IFERROR(__xludf.dummyfunction("""COMPUTED_VALUE"""),"2 ND")</f>
        <v>2 ND</v>
      </c>
      <c r="L2" s="3" t="str">
        <f aca="false">IFERROR(__xludf.dummyfunction("""COMPUTED_VALUE"""),"Vault")</f>
        <v>Vault</v>
      </c>
      <c r="M2" s="3" t="str">
        <f aca="false">IFERROR(__xludf.dummyfunction("""COMPUTED_VALUE"""),"SV")</f>
        <v>SV</v>
      </c>
      <c r="N2" s="3" t="str">
        <f aca="false">IFERROR(__xludf.dummyfunction("""COMPUTED_VALUE"""),"B")</f>
        <v>B</v>
      </c>
      <c r="O2" s="3" t="str">
        <f aca="false">IFERROR(__xludf.dummyfunction("""COMPUTED_VALUE"""),"ND")</f>
        <v>ND</v>
      </c>
      <c r="P2" s="3" t="str">
        <f aca="false">IFERROR(__xludf.dummyfunction("""COMPUTED_VALUE"""),"Bars")</f>
        <v>Bars</v>
      </c>
      <c r="Q2" s="3" t="str">
        <f aca="false">IFERROR(__xludf.dummyfunction("""COMPUTED_VALUE"""),"SV")</f>
        <v>SV</v>
      </c>
      <c r="R2" s="3" t="str">
        <f aca="false">IFERROR(__xludf.dummyfunction("""COMPUTED_VALUE"""),"B")</f>
        <v>B</v>
      </c>
      <c r="S2" s="3" t="str">
        <f aca="false">IFERROR(__xludf.dummyfunction("""COMPUTED_VALUE"""),"ND")</f>
        <v>ND</v>
      </c>
      <c r="T2" s="3" t="str">
        <f aca="false">IFERROR(__xludf.dummyfunction("""COMPUTED_VALUE"""),"Beam")</f>
        <v>Beam</v>
      </c>
      <c r="U2" s="3" t="str">
        <f aca="false">IFERROR(__xludf.dummyfunction("""COMPUTED_VALUE"""),"SV")</f>
        <v>SV</v>
      </c>
      <c r="V2" s="3" t="str">
        <f aca="false">IFERROR(__xludf.dummyfunction("""COMPUTED_VALUE"""),"B")</f>
        <v>B</v>
      </c>
      <c r="W2" s="3" t="str">
        <f aca="false">IFERROR(__xludf.dummyfunction("""COMPUTED_VALUE"""),"ND")</f>
        <v>ND</v>
      </c>
      <c r="X2" s="3" t="str">
        <f aca="false">IFERROR(__xludf.dummyfunction("""COMPUTED_VALUE"""),"Floor")</f>
        <v>Floor</v>
      </c>
      <c r="Y2" s="3" t="str">
        <f aca="false">IFERROR(__xludf.dummyfunction("""COMPUTED_VALUE"""),"SV")</f>
        <v>SV</v>
      </c>
      <c r="Z2" s="3" t="str">
        <f aca="false">IFERROR(__xludf.dummyfunction("""COMPUTED_VALUE"""),"B")</f>
        <v>B</v>
      </c>
      <c r="AA2" s="3" t="str">
        <f aca="false">IFERROR(__xludf.dummyfunction("""COMPUTED_VALUE"""),"ND")</f>
        <v>ND</v>
      </c>
      <c r="AB2" s="3" t="str">
        <f aca="false">IFERROR(__xludf.dummyfunction("""COMPUTED_VALUE"""),"R&amp;C")</f>
        <v>R&amp;C</v>
      </c>
      <c r="AC2" s="3" t="str">
        <f aca="false">IFERROR(__xludf.dummyfunction("""COMPUTED_VALUE"""),"Total")</f>
        <v>Total</v>
      </c>
      <c r="AD2" s="3" t="str">
        <f aca="false">IFERROR(__xludf.dummyfunction("""COMPUTED_VALUE"""),"Pos")</f>
        <v>Pos</v>
      </c>
    </row>
    <row r="3" customFormat="false" ht="15.75" hidden="false" customHeight="false" outlineLevel="0" collapsed="false">
      <c r="A3" s="3" t="n">
        <f aca="false">IFERROR(__xludf.dummyfunction("""COMPUTED_VALUE"""),55)</f>
        <v>55</v>
      </c>
      <c r="B3" s="3" t="str">
        <f aca="false">IFERROR(__xludf.dummyfunction("""COMPUTED_VALUE"""),"Ava")</f>
        <v>Ava</v>
      </c>
      <c r="C3" s="3" t="str">
        <f aca="false">IFERROR(__xludf.dummyfunction("""COMPUTED_VALUE"""),"Powell")</f>
        <v>Powell</v>
      </c>
      <c r="D3" s="3" t="str">
        <f aca="false">IFERROR(__xludf.dummyfunction("""COMPUTED_VALUE"""),"DYN SG")</f>
        <v>DYN SG</v>
      </c>
      <c r="E3" s="3" t="str">
        <f aca="false">IFERROR(__xludf.dummyfunction("""COMPUTED_VALUE"""),"Grade 3")</f>
        <v>Grade 3</v>
      </c>
      <c r="F3" s="3" t="n">
        <f aca="false">IFERROR(__xludf.dummyfunction("""COMPUTED_VALUE"""),4)</f>
        <v>4</v>
      </c>
      <c r="G3" s="3"/>
      <c r="H3" s="3"/>
      <c r="I3" s="3" t="n">
        <f aca="false">IFERROR(__xludf.dummyfunction("""COMPUTED_VALUE"""),4)</f>
        <v>4</v>
      </c>
      <c r="J3" s="3"/>
      <c r="K3" s="3"/>
      <c r="L3" s="4" t="n">
        <f aca="false">IFERROR(__xludf.dummyfunction("""COMPUTED_VALUE"""),12.4)</f>
        <v>12.4</v>
      </c>
      <c r="M3" s="3" t="n">
        <f aca="false">IFERROR(__xludf.dummyfunction("""COMPUTED_VALUE"""),4)</f>
        <v>4</v>
      </c>
      <c r="N3" s="3"/>
      <c r="O3" s="3"/>
      <c r="P3" s="4" t="n">
        <f aca="false">IFERROR(__xludf.dummyfunction("""COMPUTED_VALUE"""),10.65)</f>
        <v>10.65</v>
      </c>
      <c r="Q3" s="3" t="n">
        <f aca="false">IFERROR(__xludf.dummyfunction("""COMPUTED_VALUE"""),3.5)</f>
        <v>3.5</v>
      </c>
      <c r="R3" s="3"/>
      <c r="S3" s="3"/>
      <c r="T3" s="4" t="n">
        <f aca="false">IFERROR(__xludf.dummyfunction("""COMPUTED_VALUE"""),9.7)</f>
        <v>9.7</v>
      </c>
      <c r="U3" s="3" t="n">
        <f aca="false">IFERROR(__xludf.dummyfunction("""COMPUTED_VALUE"""),4)</f>
        <v>4</v>
      </c>
      <c r="V3" s="3"/>
      <c r="W3" s="3"/>
      <c r="X3" s="4" t="n">
        <f aca="false">IFERROR(__xludf.dummyfunction("""COMPUTED_VALUE"""),10.6)</f>
        <v>10.6</v>
      </c>
      <c r="Y3" s="3" t="n">
        <f aca="false">IFERROR(__xludf.dummyfunction("""COMPUTED_VALUE"""),3.5)</f>
        <v>3.5</v>
      </c>
      <c r="Z3" s="3"/>
      <c r="AA3" s="3"/>
      <c r="AB3" s="4" t="n">
        <f aca="false">IFERROR(__xludf.dummyfunction("""COMPUTED_VALUE"""),11.85)</f>
        <v>11.85</v>
      </c>
      <c r="AC3" s="4" t="n">
        <f aca="false">IFERROR(__xludf.dummyfunction("""COMPUTED_VALUE"""),55.2)</f>
        <v>55.2</v>
      </c>
      <c r="AD3" s="3" t="n">
        <f aca="false">IFERROR(__xludf.dummyfunction("""COMPUTED_VALUE"""),12)</f>
        <v>12</v>
      </c>
    </row>
    <row r="4" customFormat="false" ht="15.75" hidden="false" customHeight="false" outlineLevel="0" collapsed="false">
      <c r="A4" s="3" t="n">
        <f aca="false">IFERROR(__xludf.dummyfunction("""COMPUTED_VALUE"""),56)</f>
        <v>56</v>
      </c>
      <c r="B4" s="3" t="str">
        <f aca="false">IFERROR(__xludf.dummyfunction("""COMPUTED_VALUE"""),"Alice")</f>
        <v>Alice</v>
      </c>
      <c r="C4" s="3" t="str">
        <f aca="false">IFERROR(__xludf.dummyfunction("""COMPUTED_VALUE"""),"Butcher")</f>
        <v>Butcher</v>
      </c>
      <c r="D4" s="3" t="str">
        <f aca="false">IFERROR(__xludf.dummyfunction("""COMPUTED_VALUE"""),"DYN SG")</f>
        <v>DYN SG</v>
      </c>
      <c r="E4" s="3" t="str">
        <f aca="false">IFERROR(__xludf.dummyfunction("""COMPUTED_VALUE"""),"Grade 3")</f>
        <v>Grade 3</v>
      </c>
      <c r="F4" s="3" t="n">
        <f aca="false">IFERROR(__xludf.dummyfunction("""COMPUTED_VALUE"""),4)</f>
        <v>4</v>
      </c>
      <c r="G4" s="3"/>
      <c r="H4" s="3"/>
      <c r="I4" s="3" t="n">
        <f aca="false">IFERROR(__xludf.dummyfunction("""COMPUTED_VALUE"""),4)</f>
        <v>4</v>
      </c>
      <c r="J4" s="3"/>
      <c r="K4" s="3"/>
      <c r="L4" s="4" t="n">
        <f aca="false">IFERROR(__xludf.dummyfunction("""COMPUTED_VALUE"""),12.45)</f>
        <v>12.45</v>
      </c>
      <c r="M4" s="3" t="n">
        <f aca="false">IFERROR(__xludf.dummyfunction("""COMPUTED_VALUE"""),4)</f>
        <v>4</v>
      </c>
      <c r="N4" s="3"/>
      <c r="O4" s="3"/>
      <c r="P4" s="4" t="n">
        <f aca="false">IFERROR(__xludf.dummyfunction("""COMPUTED_VALUE"""),12.15)</f>
        <v>12.15</v>
      </c>
      <c r="Q4" s="3" t="n">
        <f aca="false">IFERROR(__xludf.dummyfunction("""COMPUTED_VALUE"""),4)</f>
        <v>4</v>
      </c>
      <c r="R4" s="3"/>
      <c r="S4" s="3"/>
      <c r="T4" s="4" t="n">
        <f aca="false">IFERROR(__xludf.dummyfunction("""COMPUTED_VALUE"""),11.8)</f>
        <v>11.8</v>
      </c>
      <c r="U4" s="3" t="n">
        <f aca="false">IFERROR(__xludf.dummyfunction("""COMPUTED_VALUE"""),4)</f>
        <v>4</v>
      </c>
      <c r="V4" s="3"/>
      <c r="W4" s="3"/>
      <c r="X4" s="4" t="n">
        <f aca="false">IFERROR(__xludf.dummyfunction("""COMPUTED_VALUE"""),10.9)</f>
        <v>10.9</v>
      </c>
      <c r="Y4" s="3" t="n">
        <f aca="false">IFERROR(__xludf.dummyfunction("""COMPUTED_VALUE"""),4)</f>
        <v>4</v>
      </c>
      <c r="Z4" s="3"/>
      <c r="AA4" s="3"/>
      <c r="AB4" s="4" t="n">
        <f aca="false">IFERROR(__xludf.dummyfunction("""COMPUTED_VALUE"""),11.9)</f>
        <v>11.9</v>
      </c>
      <c r="AC4" s="4" t="n">
        <f aca="false">IFERROR(__xludf.dummyfunction("""COMPUTED_VALUE"""),59.2)</f>
        <v>59.2</v>
      </c>
      <c r="AD4" s="3" t="n">
        <f aca="false">IFERROR(__xludf.dummyfunction("""COMPUTED_VALUE"""),4)</f>
        <v>4</v>
      </c>
    </row>
    <row r="5" customFormat="false" ht="15.75" hidden="false" customHeight="false" outlineLevel="0" collapsed="false">
      <c r="A5" s="3" t="n">
        <f aca="false">IFERROR(__xludf.dummyfunction("""COMPUTED_VALUE"""),57)</f>
        <v>57</v>
      </c>
      <c r="B5" s="3" t="str">
        <f aca="false">IFERROR(__xludf.dummyfunction("""COMPUTED_VALUE"""),"Maisie-Leigh")</f>
        <v>Maisie-Leigh</v>
      </c>
      <c r="C5" s="3" t="str">
        <f aca="false">IFERROR(__xludf.dummyfunction("""COMPUTED_VALUE"""),"Gibbs")</f>
        <v>Gibbs</v>
      </c>
      <c r="D5" s="3" t="str">
        <f aca="false">IFERROR(__xludf.dummyfunction("""COMPUTED_VALUE"""),"DYN SG")</f>
        <v>DYN SG</v>
      </c>
      <c r="E5" s="3" t="str">
        <f aca="false">IFERROR(__xludf.dummyfunction("""COMPUTED_VALUE"""),"Grade 3")</f>
        <v>Grade 3</v>
      </c>
      <c r="F5" s="3" t="n">
        <f aca="false">IFERROR(__xludf.dummyfunction("""COMPUTED_VALUE"""),4)</f>
        <v>4</v>
      </c>
      <c r="G5" s="3"/>
      <c r="H5" s="3"/>
      <c r="I5" s="3" t="n">
        <f aca="false">IFERROR(__xludf.dummyfunction("""COMPUTED_VALUE"""),4)</f>
        <v>4</v>
      </c>
      <c r="J5" s="3"/>
      <c r="K5" s="3"/>
      <c r="L5" s="4" t="n">
        <f aca="false">IFERROR(__xludf.dummyfunction("""COMPUTED_VALUE"""),13)</f>
        <v>13</v>
      </c>
      <c r="M5" s="3" t="n">
        <f aca="false">IFERROR(__xludf.dummyfunction("""COMPUTED_VALUE"""),4)</f>
        <v>4</v>
      </c>
      <c r="N5" s="3"/>
      <c r="O5" s="3"/>
      <c r="P5" s="4" t="n">
        <f aca="false">IFERROR(__xludf.dummyfunction("""COMPUTED_VALUE"""),12.5)</f>
        <v>12.5</v>
      </c>
      <c r="Q5" s="3" t="n">
        <f aca="false">IFERROR(__xludf.dummyfunction("""COMPUTED_VALUE"""),3.5)</f>
        <v>3.5</v>
      </c>
      <c r="R5" s="3"/>
      <c r="S5" s="3" t="n">
        <f aca="false">IFERROR(__xludf.dummyfunction("""COMPUTED_VALUE"""),0.5)</f>
        <v>0.5</v>
      </c>
      <c r="T5" s="4" t="n">
        <f aca="false">IFERROR(__xludf.dummyfunction("""COMPUTED_VALUE"""),10.5)</f>
        <v>10.5</v>
      </c>
      <c r="U5" s="3" t="n">
        <f aca="false">IFERROR(__xludf.dummyfunction("""COMPUTED_VALUE"""),4)</f>
        <v>4</v>
      </c>
      <c r="V5" s="3"/>
      <c r="W5" s="3"/>
      <c r="X5" s="4" t="n">
        <f aca="false">IFERROR(__xludf.dummyfunction("""COMPUTED_VALUE"""),11.35)</f>
        <v>11.35</v>
      </c>
      <c r="Y5" s="3" t="n">
        <f aca="false">IFERROR(__xludf.dummyfunction("""COMPUTED_VALUE"""),4)</f>
        <v>4</v>
      </c>
      <c r="Z5" s="3"/>
      <c r="AA5" s="3"/>
      <c r="AB5" s="4" t="n">
        <f aca="false">IFERROR(__xludf.dummyfunction("""COMPUTED_VALUE"""),12.55)</f>
        <v>12.55</v>
      </c>
      <c r="AC5" s="4" t="n">
        <f aca="false">IFERROR(__xludf.dummyfunction("""COMPUTED_VALUE"""),59.9)</f>
        <v>59.9</v>
      </c>
      <c r="AD5" s="3" t="n">
        <f aca="false">IFERROR(__xludf.dummyfunction("""COMPUTED_VALUE"""),3)</f>
        <v>3</v>
      </c>
    </row>
    <row r="6" customFormat="false" ht="15.75" hidden="false" customHeight="false" outlineLevel="0" collapsed="false">
      <c r="A6" s="3" t="n">
        <f aca="false">IFERROR(__xludf.dummyfunction("""COMPUTED_VALUE"""),58)</f>
        <v>58</v>
      </c>
      <c r="B6" s="3" t="str">
        <f aca="false">IFERROR(__xludf.dummyfunction("""COMPUTED_VALUE"""),"Olivia")</f>
        <v>Olivia</v>
      </c>
      <c r="C6" s="3" t="str">
        <f aca="false">IFERROR(__xludf.dummyfunction("""COMPUTED_VALUE"""),"Kopicka")</f>
        <v>Kopicka</v>
      </c>
      <c r="D6" s="3" t="str">
        <f aca="false">IFERROR(__xludf.dummyfunction("""COMPUTED_VALUE"""),"DYN SG")</f>
        <v>DYN SG</v>
      </c>
      <c r="E6" s="3" t="str">
        <f aca="false">IFERROR(__xludf.dummyfunction("""COMPUTED_VALUE"""),"Grade 3")</f>
        <v>Grade 3</v>
      </c>
      <c r="F6" s="3" t="n">
        <f aca="false">IFERROR(__xludf.dummyfunction("""COMPUTED_VALUE"""),4)</f>
        <v>4</v>
      </c>
      <c r="G6" s="3"/>
      <c r="H6" s="3"/>
      <c r="I6" s="3" t="n">
        <f aca="false">IFERROR(__xludf.dummyfunction("""COMPUTED_VALUE"""),4)</f>
        <v>4</v>
      </c>
      <c r="J6" s="3"/>
      <c r="K6" s="3"/>
      <c r="L6" s="4" t="n">
        <f aca="false">IFERROR(__xludf.dummyfunction("""COMPUTED_VALUE"""),12.35)</f>
        <v>12.35</v>
      </c>
      <c r="M6" s="3" t="n">
        <f aca="false">IFERROR(__xludf.dummyfunction("""COMPUTED_VALUE"""),4)</f>
        <v>4</v>
      </c>
      <c r="N6" s="3"/>
      <c r="O6" s="3"/>
      <c r="P6" s="4" t="n">
        <f aca="false">IFERROR(__xludf.dummyfunction("""COMPUTED_VALUE"""),10.6)</f>
        <v>10.6</v>
      </c>
      <c r="Q6" s="3" t="n">
        <f aca="false">IFERROR(__xludf.dummyfunction("""COMPUTED_VALUE"""),4)</f>
        <v>4</v>
      </c>
      <c r="R6" s="3"/>
      <c r="S6" s="3"/>
      <c r="T6" s="4" t="n">
        <f aca="false">IFERROR(__xludf.dummyfunction("""COMPUTED_VALUE"""),11.4)</f>
        <v>11.4</v>
      </c>
      <c r="U6" s="3" t="n">
        <f aca="false">IFERROR(__xludf.dummyfunction("""COMPUTED_VALUE"""),4)</f>
        <v>4</v>
      </c>
      <c r="V6" s="3"/>
      <c r="W6" s="3"/>
      <c r="X6" s="4" t="n">
        <f aca="false">IFERROR(__xludf.dummyfunction("""COMPUTED_VALUE"""),10.95)</f>
        <v>10.95</v>
      </c>
      <c r="Y6" s="3" t="n">
        <f aca="false">IFERROR(__xludf.dummyfunction("""COMPUTED_VALUE"""),4)</f>
        <v>4</v>
      </c>
      <c r="Z6" s="3"/>
      <c r="AA6" s="3"/>
      <c r="AB6" s="4" t="n">
        <f aca="false">IFERROR(__xludf.dummyfunction("""COMPUTED_VALUE"""),12.15)</f>
        <v>12.15</v>
      </c>
      <c r="AC6" s="4" t="n">
        <f aca="false">IFERROR(__xludf.dummyfunction("""COMPUTED_VALUE"""),57.45)</f>
        <v>57.45</v>
      </c>
      <c r="AD6" s="3" t="n">
        <f aca="false">IFERROR(__xludf.dummyfunction("""COMPUTED_VALUE"""),7)</f>
        <v>7</v>
      </c>
    </row>
    <row r="7" customFormat="false" ht="15.75" hidden="false" customHeight="false" outlineLevel="0" collapsed="false">
      <c r="A7" s="3" t="n">
        <f aca="false">IFERROR(__xludf.dummyfunction("""COMPUTED_VALUE"""),59)</f>
        <v>59</v>
      </c>
      <c r="B7" s="3" t="str">
        <f aca="false">IFERROR(__xludf.dummyfunction("""COMPUTED_VALUE"""),"Julia")</f>
        <v>Julia</v>
      </c>
      <c r="C7" s="3" t="str">
        <f aca="false">IFERROR(__xludf.dummyfunction("""COMPUTED_VALUE"""),"Pietrzyk")</f>
        <v>Pietrzyk</v>
      </c>
      <c r="D7" s="3" t="str">
        <f aca="false">IFERROR(__xludf.dummyfunction("""COMPUTED_VALUE"""),"DYN SG")</f>
        <v>DYN SG</v>
      </c>
      <c r="E7" s="3" t="str">
        <f aca="false">IFERROR(__xludf.dummyfunction("""COMPUTED_VALUE"""),"Grade 3")</f>
        <v>Grade 3</v>
      </c>
      <c r="F7" s="3" t="n">
        <f aca="false">IFERROR(__xludf.dummyfunction("""COMPUTED_VALUE"""),4)</f>
        <v>4</v>
      </c>
      <c r="G7" s="3"/>
      <c r="H7" s="3"/>
      <c r="I7" s="3" t="n">
        <f aca="false">IFERROR(__xludf.dummyfunction("""COMPUTED_VALUE"""),4)</f>
        <v>4</v>
      </c>
      <c r="J7" s="3"/>
      <c r="K7" s="3"/>
      <c r="L7" s="4" t="n">
        <f aca="false">IFERROR(__xludf.dummyfunction("""COMPUTED_VALUE"""),12.15)</f>
        <v>12.15</v>
      </c>
      <c r="M7" s="3" t="n">
        <f aca="false">IFERROR(__xludf.dummyfunction("""COMPUTED_VALUE"""),4)</f>
        <v>4</v>
      </c>
      <c r="N7" s="3"/>
      <c r="O7" s="3"/>
      <c r="P7" s="4" t="n">
        <f aca="false">IFERROR(__xludf.dummyfunction("""COMPUTED_VALUE"""),11.7)</f>
        <v>11.7</v>
      </c>
      <c r="Q7" s="3" t="n">
        <f aca="false">IFERROR(__xludf.dummyfunction("""COMPUTED_VALUE"""),4)</f>
        <v>4</v>
      </c>
      <c r="R7" s="3"/>
      <c r="S7" s="3"/>
      <c r="T7" s="4" t="n">
        <f aca="false">IFERROR(__xludf.dummyfunction("""COMPUTED_VALUE"""),12)</f>
        <v>12</v>
      </c>
      <c r="U7" s="3" t="n">
        <f aca="false">IFERROR(__xludf.dummyfunction("""COMPUTED_VALUE"""),4)</f>
        <v>4</v>
      </c>
      <c r="V7" s="3"/>
      <c r="W7" s="3"/>
      <c r="X7" s="4" t="n">
        <f aca="false">IFERROR(__xludf.dummyfunction("""COMPUTED_VALUE"""),10.45)</f>
        <v>10.45</v>
      </c>
      <c r="Y7" s="3" t="n">
        <f aca="false">IFERROR(__xludf.dummyfunction("""COMPUTED_VALUE"""),3.5)</f>
        <v>3.5</v>
      </c>
      <c r="Z7" s="3"/>
      <c r="AA7" s="3"/>
      <c r="AB7" s="4" t="n">
        <f aca="false">IFERROR(__xludf.dummyfunction("""COMPUTED_VALUE"""),12.35)</f>
        <v>12.35</v>
      </c>
      <c r="AC7" s="4" t="n">
        <f aca="false">IFERROR(__xludf.dummyfunction("""COMPUTED_VALUE"""),58.65)</f>
        <v>58.65</v>
      </c>
      <c r="AD7" s="3" t="n">
        <f aca="false">IFERROR(__xludf.dummyfunction("""COMPUTED_VALUE"""),5)</f>
        <v>5</v>
      </c>
    </row>
    <row r="8" customFormat="false" ht="15.75" hidden="false" customHeight="false" outlineLevel="0" collapsed="false">
      <c r="A8" s="3" t="n">
        <f aca="false">IFERROR(__xludf.dummyfunction("""COMPUTED_VALUE"""),60)</f>
        <v>60</v>
      </c>
      <c r="B8" s="3" t="str">
        <f aca="false">IFERROR(__xludf.dummyfunction("""COMPUTED_VALUE"""),"Kara")</f>
        <v>Kara</v>
      </c>
      <c r="C8" s="3" t="str">
        <f aca="false">IFERROR(__xludf.dummyfunction("""COMPUTED_VALUE"""),"Nash")</f>
        <v>Nash</v>
      </c>
      <c r="D8" s="3" t="str">
        <f aca="false">IFERROR(__xludf.dummyfunction("""COMPUTED_VALUE"""),"FSG")</f>
        <v>FSG</v>
      </c>
      <c r="E8" s="3" t="str">
        <f aca="false">IFERROR(__xludf.dummyfunction("""COMPUTED_VALUE"""),"Grade 3")</f>
        <v>Grade 3</v>
      </c>
      <c r="F8" s="3" t="n">
        <f aca="false">IFERROR(__xludf.dummyfunction("""COMPUTED_VALUE"""),4)</f>
        <v>4</v>
      </c>
      <c r="G8" s="3"/>
      <c r="H8" s="3"/>
      <c r="I8" s="3" t="n">
        <f aca="false">IFERROR(__xludf.dummyfunction("""COMPUTED_VALUE"""),4)</f>
        <v>4</v>
      </c>
      <c r="J8" s="3"/>
      <c r="K8" s="3"/>
      <c r="L8" s="4" t="n">
        <f aca="false">IFERROR(__xludf.dummyfunction("""COMPUTED_VALUE"""),12.8)</f>
        <v>12.8</v>
      </c>
      <c r="M8" s="3" t="n">
        <f aca="false">IFERROR(__xludf.dummyfunction("""COMPUTED_VALUE"""),4)</f>
        <v>4</v>
      </c>
      <c r="N8" s="3"/>
      <c r="O8" s="3"/>
      <c r="P8" s="4" t="n">
        <f aca="false">IFERROR(__xludf.dummyfunction("""COMPUTED_VALUE"""),11.8)</f>
        <v>11.8</v>
      </c>
      <c r="Q8" s="3" t="n">
        <f aca="false">IFERROR(__xludf.dummyfunction("""COMPUTED_VALUE"""),4)</f>
        <v>4</v>
      </c>
      <c r="R8" s="3"/>
      <c r="S8" s="3"/>
      <c r="T8" s="4" t="n">
        <f aca="false">IFERROR(__xludf.dummyfunction("""COMPUTED_VALUE"""),11.2)</f>
        <v>11.2</v>
      </c>
      <c r="U8" s="3" t="n">
        <f aca="false">IFERROR(__xludf.dummyfunction("""COMPUTED_VALUE"""),4)</f>
        <v>4</v>
      </c>
      <c r="V8" s="3"/>
      <c r="W8" s="3"/>
      <c r="X8" s="4" t="n">
        <f aca="false">IFERROR(__xludf.dummyfunction("""COMPUTED_VALUE"""),11.65)</f>
        <v>11.65</v>
      </c>
      <c r="Y8" s="3" t="n">
        <f aca="false">IFERROR(__xludf.dummyfunction("""COMPUTED_VALUE"""),3.5)</f>
        <v>3.5</v>
      </c>
      <c r="Z8" s="3"/>
      <c r="AA8" s="3"/>
      <c r="AB8" s="4" t="n">
        <f aca="false">IFERROR(__xludf.dummyfunction("""COMPUTED_VALUE"""),12.6)</f>
        <v>12.6</v>
      </c>
      <c r="AC8" s="4" t="n">
        <f aca="false">IFERROR(__xludf.dummyfunction("""COMPUTED_VALUE"""),60.05)</f>
        <v>60.05</v>
      </c>
      <c r="AD8" s="3" t="n">
        <f aca="false">IFERROR(__xludf.dummyfunction("""COMPUTED_VALUE"""),2)</f>
        <v>2</v>
      </c>
    </row>
    <row r="9" customFormat="false" ht="15.75" hidden="false" customHeight="false" outlineLevel="0" collapsed="false">
      <c r="A9" s="3" t="n">
        <f aca="false">IFERROR(__xludf.dummyfunction("""COMPUTED_VALUE"""),61)</f>
        <v>61</v>
      </c>
      <c r="B9" s="3" t="str">
        <f aca="false">IFERROR(__xludf.dummyfunction("""COMPUTED_VALUE"""),"Imogen")</f>
        <v>Imogen</v>
      </c>
      <c r="C9" s="3" t="str">
        <f aca="false">IFERROR(__xludf.dummyfunction("""COMPUTED_VALUE"""),"Lewis")</f>
        <v>Lewis</v>
      </c>
      <c r="D9" s="3" t="str">
        <f aca="false">IFERROR(__xludf.dummyfunction("""COMPUTED_VALUE"""),"FSG")</f>
        <v>FSG</v>
      </c>
      <c r="E9" s="3" t="str">
        <f aca="false">IFERROR(__xludf.dummyfunction("""COMPUTED_VALUE"""),"Grade 3")</f>
        <v>Grade 3</v>
      </c>
      <c r="F9" s="3" t="n">
        <f aca="false">IFERROR(__xludf.dummyfunction("""COMPUTED_VALUE"""),0)</f>
        <v>0</v>
      </c>
      <c r="G9" s="3"/>
      <c r="H9" s="3"/>
      <c r="I9" s="3" t="n">
        <f aca="false">IFERROR(__xludf.dummyfunction("""COMPUTED_VALUE"""),0)</f>
        <v>0</v>
      </c>
      <c r="J9" s="3"/>
      <c r="K9" s="3"/>
      <c r="L9" s="4" t="n">
        <f aca="false">IFERROR(__xludf.dummyfunction("""COMPUTED_VALUE"""),0)</f>
        <v>0</v>
      </c>
      <c r="M9" s="3"/>
      <c r="N9" s="3"/>
      <c r="O9" s="3"/>
      <c r="P9" s="4" t="n">
        <f aca="false">IFERROR(__xludf.dummyfunction("""COMPUTED_VALUE"""),0)</f>
        <v>0</v>
      </c>
      <c r="Q9" s="3" t="n">
        <f aca="false">IFERROR(__xludf.dummyfunction("""COMPUTED_VALUE"""),3.5)</f>
        <v>3.5</v>
      </c>
      <c r="R9" s="3"/>
      <c r="S9" s="3"/>
      <c r="T9" s="4" t="n">
        <f aca="false">IFERROR(__xludf.dummyfunction("""COMPUTED_VALUE"""),0)</f>
        <v>0</v>
      </c>
      <c r="U9" s="3"/>
      <c r="V9" s="3"/>
      <c r="W9" s="3"/>
      <c r="X9" s="4" t="n">
        <f aca="false">IFERROR(__xludf.dummyfunction("""COMPUTED_VALUE"""),0)</f>
        <v>0</v>
      </c>
      <c r="Y9" s="3"/>
      <c r="Z9" s="3"/>
      <c r="AA9" s="3"/>
      <c r="AB9" s="4" t="n">
        <f aca="false">IFERROR(__xludf.dummyfunction("""COMPUTED_VALUE"""),0)</f>
        <v>0</v>
      </c>
      <c r="AC9" s="4" t="n">
        <f aca="false">IFERROR(__xludf.dummyfunction("""COMPUTED_VALUE"""),0)</f>
        <v>0</v>
      </c>
      <c r="AD9" s="3" t="n">
        <f aca="false">IFERROR(__xludf.dummyfunction("""COMPUTED_VALUE"""),19)</f>
        <v>19</v>
      </c>
    </row>
    <row r="10" customFormat="false" ht="15.75" hidden="false" customHeight="false" outlineLevel="0" collapsed="false">
      <c r="A10" s="3" t="n">
        <f aca="false">IFERROR(__xludf.dummyfunction("""COMPUTED_VALUE"""),62)</f>
        <v>62</v>
      </c>
      <c r="B10" s="3" t="str">
        <f aca="false">IFERROR(__xludf.dummyfunction("""COMPUTED_VALUE"""),"Sophie")</f>
        <v>Sophie</v>
      </c>
      <c r="C10" s="3" t="str">
        <f aca="false">IFERROR(__xludf.dummyfunction("""COMPUTED_VALUE"""),"Pack")</f>
        <v>Pack</v>
      </c>
      <c r="D10" s="3" t="str">
        <f aca="false">IFERROR(__xludf.dummyfunction("""COMPUTED_VALUE"""),"FSG")</f>
        <v>FSG</v>
      </c>
      <c r="E10" s="3" t="str">
        <f aca="false">IFERROR(__xludf.dummyfunction("""COMPUTED_VALUE"""),"Grade 3")</f>
        <v>Grade 3</v>
      </c>
      <c r="F10" s="3" t="n">
        <f aca="false">IFERROR(__xludf.dummyfunction("""COMPUTED_VALUE"""),4)</f>
        <v>4</v>
      </c>
      <c r="G10" s="3"/>
      <c r="H10" s="3"/>
      <c r="I10" s="3" t="n">
        <f aca="false">IFERROR(__xludf.dummyfunction("""COMPUTED_VALUE"""),4)</f>
        <v>4</v>
      </c>
      <c r="J10" s="3"/>
      <c r="K10" s="3"/>
      <c r="L10" s="4" t="n">
        <f aca="false">IFERROR(__xludf.dummyfunction("""COMPUTED_VALUE"""),12.25)</f>
        <v>12.25</v>
      </c>
      <c r="M10" s="3" t="n">
        <f aca="false">IFERROR(__xludf.dummyfunction("""COMPUTED_VALUE"""),3.5)</f>
        <v>3.5</v>
      </c>
      <c r="N10" s="3"/>
      <c r="O10" s="3"/>
      <c r="P10" s="4" t="n">
        <f aca="false">IFERROR(__xludf.dummyfunction("""COMPUTED_VALUE"""),10.65)</f>
        <v>10.65</v>
      </c>
      <c r="Q10" s="3" t="n">
        <f aca="false">IFERROR(__xludf.dummyfunction("""COMPUTED_VALUE"""),3.5)</f>
        <v>3.5</v>
      </c>
      <c r="R10" s="3"/>
      <c r="S10" s="3" t="n">
        <f aca="false">IFERROR(__xludf.dummyfunction("""COMPUTED_VALUE"""),0.5)</f>
        <v>0.5</v>
      </c>
      <c r="T10" s="4" t="n">
        <f aca="false">IFERROR(__xludf.dummyfunction("""COMPUTED_VALUE"""),10.9)</f>
        <v>10.9</v>
      </c>
      <c r="U10" s="3" t="n">
        <f aca="false">IFERROR(__xludf.dummyfunction("""COMPUTED_VALUE"""),4)</f>
        <v>4</v>
      </c>
      <c r="V10" s="3"/>
      <c r="W10" s="3"/>
      <c r="X10" s="4" t="n">
        <f aca="false">IFERROR(__xludf.dummyfunction("""COMPUTED_VALUE"""),11.05)</f>
        <v>11.05</v>
      </c>
      <c r="Y10" s="3" t="n">
        <f aca="false">IFERROR(__xludf.dummyfunction("""COMPUTED_VALUE"""),3.5)</f>
        <v>3.5</v>
      </c>
      <c r="Z10" s="3"/>
      <c r="AA10" s="3"/>
      <c r="AB10" s="4" t="n">
        <f aca="false">IFERROR(__xludf.dummyfunction("""COMPUTED_VALUE"""),12.3)</f>
        <v>12.3</v>
      </c>
      <c r="AC10" s="4" t="n">
        <f aca="false">IFERROR(__xludf.dummyfunction("""COMPUTED_VALUE"""),57.15)</f>
        <v>57.15</v>
      </c>
      <c r="AD10" s="3" t="n">
        <f aca="false">IFERROR(__xludf.dummyfunction("""COMPUTED_VALUE"""),9)</f>
        <v>9</v>
      </c>
    </row>
    <row r="11" customFormat="false" ht="15.75" hidden="false" customHeight="false" outlineLevel="0" collapsed="false">
      <c r="A11" s="3" t="n">
        <f aca="false">IFERROR(__xludf.dummyfunction("""COMPUTED_VALUE"""),63)</f>
        <v>63</v>
      </c>
      <c r="B11" s="3" t="str">
        <f aca="false">IFERROR(__xludf.dummyfunction("""COMPUTED_VALUE"""),"Jamie")</f>
        <v>Jamie</v>
      </c>
      <c r="C11" s="3" t="str">
        <f aca="false">IFERROR(__xludf.dummyfunction("""COMPUTED_VALUE"""),"Giddings")</f>
        <v>Giddings</v>
      </c>
      <c r="D11" s="3" t="str">
        <f aca="false">IFERROR(__xludf.dummyfunction("""COMPUTED_VALUE"""),"FLEX GC")</f>
        <v>FLEX GC</v>
      </c>
      <c r="E11" s="3" t="str">
        <f aca="false">IFERROR(__xludf.dummyfunction("""COMPUTED_VALUE"""),"Grade 3")</f>
        <v>Grade 3</v>
      </c>
      <c r="F11" s="3" t="n">
        <f aca="false">IFERROR(__xludf.dummyfunction("""COMPUTED_VALUE"""),4)</f>
        <v>4</v>
      </c>
      <c r="G11" s="3"/>
      <c r="H11" s="3"/>
      <c r="I11" s="3" t="n">
        <f aca="false">IFERROR(__xludf.dummyfunction("""COMPUTED_VALUE"""),4)</f>
        <v>4</v>
      </c>
      <c r="J11" s="3"/>
      <c r="K11" s="3"/>
      <c r="L11" s="4" t="n">
        <f aca="false">IFERROR(__xludf.dummyfunction("""COMPUTED_VALUE"""),12.55)</f>
        <v>12.55</v>
      </c>
      <c r="M11" s="3" t="n">
        <f aca="false">IFERROR(__xludf.dummyfunction("""COMPUTED_VALUE"""),4)</f>
        <v>4</v>
      </c>
      <c r="N11" s="3"/>
      <c r="O11" s="3"/>
      <c r="P11" s="4" t="n">
        <f aca="false">IFERROR(__xludf.dummyfunction("""COMPUTED_VALUE"""),11.5)</f>
        <v>11.5</v>
      </c>
      <c r="Q11" s="3" t="n">
        <f aca="false">IFERROR(__xludf.dummyfunction("""COMPUTED_VALUE"""),3.5)</f>
        <v>3.5</v>
      </c>
      <c r="R11" s="3"/>
      <c r="S11" s="3"/>
      <c r="T11" s="4" t="n">
        <f aca="false">IFERROR(__xludf.dummyfunction("""COMPUTED_VALUE"""),11.2)</f>
        <v>11.2</v>
      </c>
      <c r="U11" s="3" t="n">
        <f aca="false">IFERROR(__xludf.dummyfunction("""COMPUTED_VALUE"""),4)</f>
        <v>4</v>
      </c>
      <c r="V11" s="3"/>
      <c r="W11" s="3"/>
      <c r="X11" s="4" t="n">
        <f aca="false">IFERROR(__xludf.dummyfunction("""COMPUTED_VALUE"""),10.95)</f>
        <v>10.95</v>
      </c>
      <c r="Y11" s="3" t="n">
        <f aca="false">IFERROR(__xludf.dummyfunction("""COMPUTED_VALUE"""),3.5)</f>
        <v>3.5</v>
      </c>
      <c r="Z11" s="3"/>
      <c r="AA11" s="3"/>
      <c r="AB11" s="4" t="n">
        <f aca="false">IFERROR(__xludf.dummyfunction("""COMPUTED_VALUE"""),11.95)</f>
        <v>11.95</v>
      </c>
      <c r="AC11" s="4" t="n">
        <f aca="false">IFERROR(__xludf.dummyfunction("""COMPUTED_VALUE"""),58.15)</f>
        <v>58.15</v>
      </c>
      <c r="AD11" s="3" t="n">
        <f aca="false">IFERROR(__xludf.dummyfunction("""COMPUTED_VALUE"""),6)</f>
        <v>6</v>
      </c>
    </row>
    <row r="12" customFormat="false" ht="15.75" hidden="false" customHeight="false" outlineLevel="0" collapsed="false">
      <c r="A12" s="3" t="n">
        <f aca="false">IFERROR(__xludf.dummyfunction("""COMPUTED_VALUE"""),64)</f>
        <v>64</v>
      </c>
      <c r="B12" s="3" t="str">
        <f aca="false">IFERROR(__xludf.dummyfunction("""COMPUTED_VALUE"""),"Chloe Llewlyn")</f>
        <v>Chloe Llewlyn</v>
      </c>
      <c r="C12" s="3" t="str">
        <f aca="false">IFERROR(__xludf.dummyfunction("""COMPUTED_VALUE"""),"Williams")</f>
        <v>Williams</v>
      </c>
      <c r="D12" s="3" t="str">
        <f aca="false">IFERROR(__xludf.dummyfunction("""COMPUTED_VALUE"""),"FLEX GC")</f>
        <v>FLEX GC</v>
      </c>
      <c r="E12" s="3" t="str">
        <f aca="false">IFERROR(__xludf.dummyfunction("""COMPUTED_VALUE"""),"Grade 3")</f>
        <v>Grade 3</v>
      </c>
      <c r="F12" s="3" t="n">
        <f aca="false">IFERROR(__xludf.dummyfunction("""COMPUTED_VALUE"""),4)</f>
        <v>4</v>
      </c>
      <c r="G12" s="3"/>
      <c r="H12" s="3"/>
      <c r="I12" s="3" t="n">
        <f aca="false">IFERROR(__xludf.dummyfunction("""COMPUTED_VALUE"""),4)</f>
        <v>4</v>
      </c>
      <c r="J12" s="3"/>
      <c r="K12" s="3"/>
      <c r="L12" s="4" t="n">
        <f aca="false">IFERROR(__xludf.dummyfunction("""COMPUTED_VALUE"""),12.3)</f>
        <v>12.3</v>
      </c>
      <c r="M12" s="3" t="n">
        <f aca="false">IFERROR(__xludf.dummyfunction("""COMPUTED_VALUE"""),4)</f>
        <v>4</v>
      </c>
      <c r="N12" s="3"/>
      <c r="O12" s="3"/>
      <c r="P12" s="4" t="n">
        <f aca="false">IFERROR(__xludf.dummyfunction("""COMPUTED_VALUE"""),10.85)</f>
        <v>10.85</v>
      </c>
      <c r="Q12" s="3" t="n">
        <f aca="false">IFERROR(__xludf.dummyfunction("""COMPUTED_VALUE"""),3.5)</f>
        <v>3.5</v>
      </c>
      <c r="R12" s="3"/>
      <c r="S12" s="3"/>
      <c r="T12" s="4" t="n">
        <f aca="false">IFERROR(__xludf.dummyfunction("""COMPUTED_VALUE"""),11.1)</f>
        <v>11.1</v>
      </c>
      <c r="U12" s="3" t="n">
        <f aca="false">IFERROR(__xludf.dummyfunction("""COMPUTED_VALUE"""),4)</f>
        <v>4</v>
      </c>
      <c r="V12" s="3"/>
      <c r="W12" s="3"/>
      <c r="X12" s="4" t="n">
        <f aca="false">IFERROR(__xludf.dummyfunction("""COMPUTED_VALUE"""),10.95)</f>
        <v>10.95</v>
      </c>
      <c r="Y12" s="3" t="n">
        <f aca="false">IFERROR(__xludf.dummyfunction("""COMPUTED_VALUE"""),3)</f>
        <v>3</v>
      </c>
      <c r="Z12" s="3"/>
      <c r="AA12" s="3"/>
      <c r="AB12" s="4" t="n">
        <f aca="false">IFERROR(__xludf.dummyfunction("""COMPUTED_VALUE"""),11.2)</f>
        <v>11.2</v>
      </c>
      <c r="AC12" s="4" t="n">
        <f aca="false">IFERROR(__xludf.dummyfunction("""COMPUTED_VALUE"""),56.4)</f>
        <v>56.4</v>
      </c>
      <c r="AD12" s="3" t="n">
        <f aca="false">IFERROR(__xludf.dummyfunction("""COMPUTED_VALUE"""),11)</f>
        <v>11</v>
      </c>
    </row>
    <row r="13" customFormat="false" ht="15.75" hidden="false" customHeight="false" outlineLevel="0" collapsed="false">
      <c r="A13" s="7" t="n">
        <f aca="false">IFERROR(__xludf.dummyfunction("""COMPUTED_VALUE"""),65)</f>
        <v>65</v>
      </c>
      <c r="B13" s="7" t="str">
        <f aca="false">IFERROR(__xludf.dummyfunction("""COMPUTED_VALUE"""),"Emily")</f>
        <v>Emily</v>
      </c>
      <c r="C13" s="7" t="str">
        <f aca="false">IFERROR(__xludf.dummyfunction("""COMPUTED_VALUE"""),"Moran")</f>
        <v>Moran</v>
      </c>
      <c r="D13" s="7" t="str">
        <f aca="false">IFERROR(__xludf.dummyfunction("""COMPUTED_VALUE"""),"RGA")</f>
        <v>RGA</v>
      </c>
      <c r="E13" s="7" t="str">
        <f aca="false">IFERROR(__xludf.dummyfunction("""COMPUTED_VALUE"""),"Grade 3")</f>
        <v>Grade 3</v>
      </c>
      <c r="F13" s="7" t="n">
        <f aca="false">IFERROR(__xludf.dummyfunction("""COMPUTED_VALUE"""),4)</f>
        <v>4</v>
      </c>
      <c r="G13" s="7"/>
      <c r="H13" s="7"/>
      <c r="I13" s="7" t="n">
        <f aca="false">IFERROR(__xludf.dummyfunction("""COMPUTED_VALUE"""),4)</f>
        <v>4</v>
      </c>
      <c r="J13" s="7"/>
      <c r="K13" s="7"/>
      <c r="L13" s="8" t="n">
        <f aca="false">IFERROR(__xludf.dummyfunction("""COMPUTED_VALUE"""),12.5)</f>
        <v>12.5</v>
      </c>
      <c r="M13" s="7" t="n">
        <f aca="false">IFERROR(__xludf.dummyfunction("""COMPUTED_VALUE"""),4)</f>
        <v>4</v>
      </c>
      <c r="N13" s="7"/>
      <c r="O13" s="7"/>
      <c r="P13" s="8" t="n">
        <f aca="false">IFERROR(__xludf.dummyfunction("""COMPUTED_VALUE"""),12.65)</f>
        <v>12.65</v>
      </c>
      <c r="Q13" s="7" t="n">
        <f aca="false">IFERROR(__xludf.dummyfunction("""COMPUTED_VALUE"""),3.5)</f>
        <v>3.5</v>
      </c>
      <c r="R13" s="7"/>
      <c r="S13" s="7"/>
      <c r="T13" s="8" t="n">
        <f aca="false">IFERROR(__xludf.dummyfunction("""COMPUTED_VALUE"""),10.3)</f>
        <v>10.3</v>
      </c>
      <c r="U13" s="7" t="n">
        <f aca="false">IFERROR(__xludf.dummyfunction("""COMPUTED_VALUE"""),4)</f>
        <v>4</v>
      </c>
      <c r="V13" s="7"/>
      <c r="W13" s="7"/>
      <c r="X13" s="8" t="n">
        <f aca="false">IFERROR(__xludf.dummyfunction("""COMPUTED_VALUE"""),11.4)</f>
        <v>11.4</v>
      </c>
      <c r="Y13" s="7" t="n">
        <f aca="false">IFERROR(__xludf.dummyfunction("""COMPUTED_VALUE"""),2)</f>
        <v>2</v>
      </c>
      <c r="Z13" s="7"/>
      <c r="AA13" s="7"/>
      <c r="AB13" s="8" t="n">
        <f aca="false">IFERROR(__xludf.dummyfunction("""COMPUTED_VALUE"""),10.2)</f>
        <v>10.2</v>
      </c>
      <c r="AC13" s="9" t="n">
        <f aca="false">IFERROR(__xludf.dummyfunction("""COMPUTED_VALUE"""),57.05)</f>
        <v>57.05</v>
      </c>
      <c r="AD13" s="7" t="n">
        <f aca="false">IFERROR(__xludf.dummyfunction("""COMPUTED_VALUE"""),10)</f>
        <v>10</v>
      </c>
    </row>
    <row r="14" customFormat="false" ht="15.75" hidden="false" customHeight="false" outlineLevel="0" collapsed="false">
      <c r="A14" s="7" t="n">
        <f aca="false">IFERROR(__xludf.dummyfunction("""COMPUTED_VALUE"""),66)</f>
        <v>66</v>
      </c>
      <c r="B14" s="7" t="str">
        <f aca="false">IFERROR(__xludf.dummyfunction("""COMPUTED_VALUE"""),"Megan")</f>
        <v>Megan</v>
      </c>
      <c r="C14" s="7" t="str">
        <f aca="false">IFERROR(__xludf.dummyfunction("""COMPUTED_VALUE"""),"Boow")</f>
        <v>Boow</v>
      </c>
      <c r="D14" s="7" t="str">
        <f aca="false">IFERROR(__xludf.dummyfunction("""COMPUTED_VALUE"""),"RGA")</f>
        <v>RGA</v>
      </c>
      <c r="E14" s="7" t="str">
        <f aca="false">IFERROR(__xludf.dummyfunction("""COMPUTED_VALUE"""),"Grade 3")</f>
        <v>Grade 3</v>
      </c>
      <c r="F14" s="7" t="n">
        <f aca="false">IFERROR(__xludf.dummyfunction("""COMPUTED_VALUE"""),4)</f>
        <v>4</v>
      </c>
      <c r="G14" s="7"/>
      <c r="H14" s="7"/>
      <c r="I14" s="7" t="n">
        <f aca="false">IFERROR(__xludf.dummyfunction("""COMPUTED_VALUE"""),4)</f>
        <v>4</v>
      </c>
      <c r="J14" s="7"/>
      <c r="K14" s="7"/>
      <c r="L14" s="8" t="n">
        <f aca="false">IFERROR(__xludf.dummyfunction("""COMPUTED_VALUE"""),12.7)</f>
        <v>12.7</v>
      </c>
      <c r="M14" s="7" t="n">
        <f aca="false">IFERROR(__xludf.dummyfunction("""COMPUTED_VALUE"""),4)</f>
        <v>4</v>
      </c>
      <c r="N14" s="7"/>
      <c r="O14" s="7"/>
      <c r="P14" s="8" t="n">
        <f aca="false">IFERROR(__xludf.dummyfunction("""COMPUTED_VALUE"""),12)</f>
        <v>12</v>
      </c>
      <c r="Q14" s="7" t="n">
        <f aca="false">IFERROR(__xludf.dummyfunction("""COMPUTED_VALUE"""),4)</f>
        <v>4</v>
      </c>
      <c r="R14" s="7"/>
      <c r="S14" s="7"/>
      <c r="T14" s="8" t="n">
        <f aca="false">IFERROR(__xludf.dummyfunction("""COMPUTED_VALUE"""),12)</f>
        <v>12</v>
      </c>
      <c r="U14" s="7" t="n">
        <f aca="false">IFERROR(__xludf.dummyfunction("""COMPUTED_VALUE"""),4)</f>
        <v>4</v>
      </c>
      <c r="V14" s="7"/>
      <c r="W14" s="7"/>
      <c r="X14" s="8" t="n">
        <f aca="false">IFERROR(__xludf.dummyfunction("""COMPUTED_VALUE"""),11.85)</f>
        <v>11.85</v>
      </c>
      <c r="Y14" s="7" t="n">
        <f aca="false">IFERROR(__xludf.dummyfunction("""COMPUTED_VALUE"""),3.5)</f>
        <v>3.5</v>
      </c>
      <c r="Z14" s="7"/>
      <c r="AA14" s="7"/>
      <c r="AB14" s="8" t="n">
        <f aca="false">IFERROR(__xludf.dummyfunction("""COMPUTED_VALUE"""),12.3)</f>
        <v>12.3</v>
      </c>
      <c r="AC14" s="8" t="n">
        <f aca="false">IFERROR(__xludf.dummyfunction("""COMPUTED_VALUE"""),60.85)</f>
        <v>60.85</v>
      </c>
      <c r="AD14" s="7" t="n">
        <f aca="false">IFERROR(__xludf.dummyfunction("""COMPUTED_VALUE"""),1)</f>
        <v>1</v>
      </c>
    </row>
    <row r="15" customFormat="false" ht="15.75" hidden="false" customHeight="false" outlineLevel="0" collapsed="false">
      <c r="A15" s="7" t="n">
        <f aca="false">IFERROR(__xludf.dummyfunction("""COMPUTED_VALUE"""),67)</f>
        <v>67</v>
      </c>
      <c r="B15" s="7" t="str">
        <f aca="false">IFERROR(__xludf.dummyfunction("""COMPUTED_VALUE"""),"Lacey-Mae")</f>
        <v>Lacey-Mae</v>
      </c>
      <c r="C15" s="7" t="str">
        <f aca="false">IFERROR(__xludf.dummyfunction("""COMPUTED_VALUE"""),"Willoughby")</f>
        <v>Willoughby</v>
      </c>
      <c r="D15" s="7" t="str">
        <f aca="false">IFERROR(__xludf.dummyfunction("""COMPUTED_VALUE"""),"RGA")</f>
        <v>RGA</v>
      </c>
      <c r="E15" s="7" t="str">
        <f aca="false">IFERROR(__xludf.dummyfunction("""COMPUTED_VALUE"""),"Grade 3")</f>
        <v>Grade 3</v>
      </c>
      <c r="F15" s="7" t="n">
        <f aca="false">IFERROR(__xludf.dummyfunction("""COMPUTED_VALUE"""),4)</f>
        <v>4</v>
      </c>
      <c r="G15" s="7"/>
      <c r="H15" s="7"/>
      <c r="I15" s="7" t="n">
        <f aca="false">IFERROR(__xludf.dummyfunction("""COMPUTED_VALUE"""),4)</f>
        <v>4</v>
      </c>
      <c r="J15" s="7"/>
      <c r="K15" s="7"/>
      <c r="L15" s="8" t="n">
        <f aca="false">IFERROR(__xludf.dummyfunction("""COMPUTED_VALUE"""),12.3)</f>
        <v>12.3</v>
      </c>
      <c r="M15" s="7" t="n">
        <f aca="false">IFERROR(__xludf.dummyfunction("""COMPUTED_VALUE"""),4)</f>
        <v>4</v>
      </c>
      <c r="N15" s="7"/>
      <c r="O15" s="7"/>
      <c r="P15" s="8" t="n">
        <f aca="false">IFERROR(__xludf.dummyfunction("""COMPUTED_VALUE"""),12.1)</f>
        <v>12.1</v>
      </c>
      <c r="Q15" s="7" t="n">
        <f aca="false">IFERROR(__xludf.dummyfunction("""COMPUTED_VALUE"""),3.5)</f>
        <v>3.5</v>
      </c>
      <c r="R15" s="7"/>
      <c r="S15" s="7"/>
      <c r="T15" s="8" t="n">
        <f aca="false">IFERROR(__xludf.dummyfunction("""COMPUTED_VALUE"""),10.6)</f>
        <v>10.6</v>
      </c>
      <c r="U15" s="7" t="n">
        <f aca="false">IFERROR(__xludf.dummyfunction("""COMPUTED_VALUE"""),4)</f>
        <v>4</v>
      </c>
      <c r="V15" s="7"/>
      <c r="W15" s="7"/>
      <c r="X15" s="8" t="n">
        <f aca="false">IFERROR(__xludf.dummyfunction("""COMPUTED_VALUE"""),11.05)</f>
        <v>11.05</v>
      </c>
      <c r="Y15" s="7" t="n">
        <f aca="false">IFERROR(__xludf.dummyfunction("""COMPUTED_VALUE"""),3.5)</f>
        <v>3.5</v>
      </c>
      <c r="Z15" s="7"/>
      <c r="AA15" s="7"/>
      <c r="AB15" s="8" t="n">
        <f aca="false">IFERROR(__xludf.dummyfunction("""COMPUTED_VALUE"""),11.2)</f>
        <v>11.2</v>
      </c>
      <c r="AC15" s="8" t="n">
        <f aca="false">IFERROR(__xludf.dummyfunction("""COMPUTED_VALUE"""),57.25)</f>
        <v>57.25</v>
      </c>
      <c r="AD15" s="7" t="n">
        <f aca="false">IFERROR(__xludf.dummyfunction("""COMPUTED_VALUE"""),8)</f>
        <v>8</v>
      </c>
    </row>
    <row r="16" customFormat="false" ht="15.75" hidden="false" customHeight="false" outlineLevel="0" collapsed="false">
      <c r="A16" s="3" t="n">
        <f aca="false">IFERROR(__xludf.dummyfunction("""COMPUTED_VALUE"""),68)</f>
        <v>68</v>
      </c>
      <c r="B16" s="3" t="str">
        <f aca="false">IFERROR(__xludf.dummyfunction("""COMPUTED_VALUE"""),"Shannon")</f>
        <v>Shannon</v>
      </c>
      <c r="C16" s="3" t="str">
        <f aca="false">IFERROR(__xludf.dummyfunction("""COMPUTED_VALUE"""),"Wade")</f>
        <v>Wade</v>
      </c>
      <c r="D16" s="3" t="str">
        <f aca="false">IFERROR(__xludf.dummyfunction("""COMPUTED_VALUE"""),"WAT GC")</f>
        <v>WAT GC</v>
      </c>
      <c r="E16" s="3" t="str">
        <f aca="false">IFERROR(__xludf.dummyfunction("""COMPUTED_VALUE"""),"Grade 3")</f>
        <v>Grade 3</v>
      </c>
      <c r="F16" s="3" t="n">
        <f aca="false">IFERROR(__xludf.dummyfunction("""COMPUTED_VALUE"""),4)</f>
        <v>4</v>
      </c>
      <c r="G16" s="3"/>
      <c r="H16" s="3"/>
      <c r="I16" s="3" t="n">
        <f aca="false">IFERROR(__xludf.dummyfunction("""COMPUTED_VALUE"""),4)</f>
        <v>4</v>
      </c>
      <c r="J16" s="3"/>
      <c r="K16" s="3"/>
      <c r="L16" s="4" t="n">
        <f aca="false">IFERROR(__xludf.dummyfunction("""COMPUTED_VALUE"""),11.35)</f>
        <v>11.35</v>
      </c>
      <c r="M16" s="3" t="n">
        <f aca="false">IFERROR(__xludf.dummyfunction("""COMPUTED_VALUE"""),4)</f>
        <v>4</v>
      </c>
      <c r="N16" s="3"/>
      <c r="O16" s="3"/>
      <c r="P16" s="4" t="n">
        <f aca="false">IFERROR(__xludf.dummyfunction("""COMPUTED_VALUE"""),11.1)</f>
        <v>11.1</v>
      </c>
      <c r="Q16" s="3" t="n">
        <f aca="false">IFERROR(__xludf.dummyfunction("""COMPUTED_VALUE"""),3.5)</f>
        <v>3.5</v>
      </c>
      <c r="R16" s="3"/>
      <c r="S16" s="3"/>
      <c r="T16" s="4" t="n">
        <f aca="false">IFERROR(__xludf.dummyfunction("""COMPUTED_VALUE"""),9.1)</f>
        <v>9.1</v>
      </c>
      <c r="U16" s="3" t="n">
        <f aca="false">IFERROR(__xludf.dummyfunction("""COMPUTED_VALUE"""),4)</f>
        <v>4</v>
      </c>
      <c r="V16" s="3"/>
      <c r="W16" s="3"/>
      <c r="X16" s="4" t="n">
        <f aca="false">IFERROR(__xludf.dummyfunction("""COMPUTED_VALUE"""),10)</f>
        <v>10</v>
      </c>
      <c r="Y16" s="3" t="n">
        <f aca="false">IFERROR(__xludf.dummyfunction("""COMPUTED_VALUE"""),3.5)</f>
        <v>3.5</v>
      </c>
      <c r="Z16" s="3"/>
      <c r="AA16" s="3"/>
      <c r="AB16" s="4" t="n">
        <f aca="false">IFERROR(__xludf.dummyfunction("""COMPUTED_VALUE"""),10.7)</f>
        <v>10.7</v>
      </c>
      <c r="AC16" s="4" t="n">
        <f aca="false">IFERROR(__xludf.dummyfunction("""COMPUTED_VALUE"""),52.25)</f>
        <v>52.25</v>
      </c>
      <c r="AD16" s="3" t="n">
        <f aca="false">IFERROR(__xludf.dummyfunction("""COMPUTED_VALUE"""),15)</f>
        <v>15</v>
      </c>
    </row>
    <row r="17" customFormat="false" ht="15.75" hidden="false" customHeight="false" outlineLevel="0" collapsed="false">
      <c r="A17" s="3" t="n">
        <f aca="false">IFERROR(__xludf.dummyfunction("""COMPUTED_VALUE"""),69)</f>
        <v>69</v>
      </c>
      <c r="B17" s="3" t="str">
        <f aca="false">IFERROR(__xludf.dummyfunction("""COMPUTED_VALUE"""),"Evie")</f>
        <v>Evie</v>
      </c>
      <c r="C17" s="3" t="str">
        <f aca="false">IFERROR(__xludf.dummyfunction("""COMPUTED_VALUE"""),"Strong")</f>
        <v>Strong</v>
      </c>
      <c r="D17" s="3" t="str">
        <f aca="false">IFERROR(__xludf.dummyfunction("""COMPUTED_VALUE"""),"ALTON GC")</f>
        <v>ALTON GC</v>
      </c>
      <c r="E17" s="3" t="str">
        <f aca="false">IFERROR(__xludf.dummyfunction("""COMPUTED_VALUE"""),"Grade 3")</f>
        <v>Grade 3</v>
      </c>
      <c r="F17" s="3" t="n">
        <f aca="false">IFERROR(__xludf.dummyfunction("""COMPUTED_VALUE"""),4)</f>
        <v>4</v>
      </c>
      <c r="G17" s="3"/>
      <c r="H17" s="3"/>
      <c r="I17" s="3" t="n">
        <f aca="false">IFERROR(__xludf.dummyfunction("""COMPUTED_VALUE"""),4)</f>
        <v>4</v>
      </c>
      <c r="J17" s="3"/>
      <c r="K17" s="3"/>
      <c r="L17" s="4" t="n">
        <f aca="false">IFERROR(__xludf.dummyfunction("""COMPUTED_VALUE"""),12.2)</f>
        <v>12.2</v>
      </c>
      <c r="M17" s="3" t="n">
        <f aca="false">IFERROR(__xludf.dummyfunction("""COMPUTED_VALUE"""),4)</f>
        <v>4</v>
      </c>
      <c r="N17" s="3"/>
      <c r="O17" s="3"/>
      <c r="P17" s="4" t="n">
        <f aca="false">IFERROR(__xludf.dummyfunction("""COMPUTED_VALUE"""),11.6)</f>
        <v>11.6</v>
      </c>
      <c r="Q17" s="3" t="n">
        <f aca="false">IFERROR(__xludf.dummyfunction("""COMPUTED_VALUE"""),3)</f>
        <v>3</v>
      </c>
      <c r="R17" s="3"/>
      <c r="S17" s="3"/>
      <c r="T17" s="4" t="n">
        <f aca="false">IFERROR(__xludf.dummyfunction("""COMPUTED_VALUE"""),10)</f>
        <v>10</v>
      </c>
      <c r="U17" s="3" t="n">
        <f aca="false">IFERROR(__xludf.dummyfunction("""COMPUTED_VALUE"""),4)</f>
        <v>4</v>
      </c>
      <c r="V17" s="3"/>
      <c r="W17" s="3"/>
      <c r="X17" s="4" t="n">
        <f aca="false">IFERROR(__xludf.dummyfunction("""COMPUTED_VALUE"""),9.8)</f>
        <v>9.8</v>
      </c>
      <c r="Y17" s="3" t="n">
        <f aca="false">IFERROR(__xludf.dummyfunction("""COMPUTED_VALUE"""),3.5)</f>
        <v>3.5</v>
      </c>
      <c r="Z17" s="3"/>
      <c r="AA17" s="3"/>
      <c r="AB17" s="4" t="n">
        <f aca="false">IFERROR(__xludf.dummyfunction("""COMPUTED_VALUE"""),11)</f>
        <v>11</v>
      </c>
      <c r="AC17" s="4" t="n">
        <f aca="false">IFERROR(__xludf.dummyfunction("""COMPUTED_VALUE"""),54.6)</f>
        <v>54.6</v>
      </c>
      <c r="AD17" s="3" t="n">
        <f aca="false">IFERROR(__xludf.dummyfunction("""COMPUTED_VALUE"""),14)</f>
        <v>14</v>
      </c>
    </row>
    <row r="18" customFormat="false" ht="15.75" hidden="false" customHeight="false" outlineLevel="0" collapsed="false">
      <c r="A18" s="3" t="n">
        <f aca="false">IFERROR(__xludf.dummyfunction("""COMPUTED_VALUE"""),70)</f>
        <v>70</v>
      </c>
      <c r="B18" s="3" t="str">
        <f aca="false">IFERROR(__xludf.dummyfunction("""COMPUTED_VALUE"""),"Cara")</f>
        <v>Cara</v>
      </c>
      <c r="C18" s="3" t="str">
        <f aca="false">IFERROR(__xludf.dummyfunction("""COMPUTED_VALUE"""),"Anton")</f>
        <v>Anton</v>
      </c>
      <c r="D18" s="3" t="str">
        <f aca="false">IFERROR(__xludf.dummyfunction("""COMPUTED_VALUE"""),"ALTON GC")</f>
        <v>ALTON GC</v>
      </c>
      <c r="E18" s="3" t="str">
        <f aca="false">IFERROR(__xludf.dummyfunction("""COMPUTED_VALUE"""),"Grade 3")</f>
        <v>Grade 3</v>
      </c>
      <c r="F18" s="3" t="n">
        <f aca="false">IFERROR(__xludf.dummyfunction("""COMPUTED_VALUE"""),4)</f>
        <v>4</v>
      </c>
      <c r="G18" s="3"/>
      <c r="H18" s="3"/>
      <c r="I18" s="3" t="n">
        <f aca="false">IFERROR(__xludf.dummyfunction("""COMPUTED_VALUE"""),4)</f>
        <v>4</v>
      </c>
      <c r="J18" s="3"/>
      <c r="K18" s="3"/>
      <c r="L18" s="4" t="n">
        <f aca="false">IFERROR(__xludf.dummyfunction("""COMPUTED_VALUE"""),11.8)</f>
        <v>11.8</v>
      </c>
      <c r="M18" s="3" t="n">
        <f aca="false">IFERROR(__xludf.dummyfunction("""COMPUTED_VALUE"""),4)</f>
        <v>4</v>
      </c>
      <c r="N18" s="3"/>
      <c r="O18" s="3"/>
      <c r="P18" s="4" t="n">
        <f aca="false">IFERROR(__xludf.dummyfunction("""COMPUTED_VALUE"""),10.7)</f>
        <v>10.7</v>
      </c>
      <c r="Q18" s="3" t="n">
        <f aca="false">IFERROR(__xludf.dummyfunction("""COMPUTED_VALUE"""),3.5)</f>
        <v>3.5</v>
      </c>
      <c r="R18" s="3"/>
      <c r="S18" s="3" t="n">
        <f aca="false">IFERROR(__xludf.dummyfunction("""COMPUTED_VALUE"""),0.5)</f>
        <v>0.5</v>
      </c>
      <c r="T18" s="4" t="n">
        <f aca="false">IFERROR(__xludf.dummyfunction("""COMPUTED_VALUE"""),9.9)</f>
        <v>9.9</v>
      </c>
      <c r="U18" s="3" t="n">
        <f aca="false">IFERROR(__xludf.dummyfunction("""COMPUTED_VALUE"""),4)</f>
        <v>4</v>
      </c>
      <c r="V18" s="3"/>
      <c r="W18" s="3"/>
      <c r="X18" s="4" t="n">
        <f aca="false">IFERROR(__xludf.dummyfunction("""COMPUTED_VALUE"""),9.3)</f>
        <v>9.3</v>
      </c>
      <c r="Y18" s="3" t="n">
        <f aca="false">IFERROR(__xludf.dummyfunction("""COMPUTED_VALUE"""),3.5)</f>
        <v>3.5</v>
      </c>
      <c r="Z18" s="3"/>
      <c r="AA18" s="3"/>
      <c r="AB18" s="4" t="n">
        <f aca="false">IFERROR(__xludf.dummyfunction("""COMPUTED_VALUE"""),9.95)</f>
        <v>9.95</v>
      </c>
      <c r="AC18" s="4" t="n">
        <f aca="false">IFERROR(__xludf.dummyfunction("""COMPUTED_VALUE"""),51.65)</f>
        <v>51.65</v>
      </c>
      <c r="AD18" s="3" t="n">
        <f aca="false">IFERROR(__xludf.dummyfunction("""COMPUTED_VALUE"""),16)</f>
        <v>16</v>
      </c>
    </row>
    <row r="19" customFormat="false" ht="15.75" hidden="false" customHeight="false" outlineLevel="0" collapsed="false">
      <c r="A19" s="3" t="n">
        <f aca="false">IFERROR(__xludf.dummyfunction("""COMPUTED_VALUE"""),71)</f>
        <v>71</v>
      </c>
      <c r="B19" s="3" t="str">
        <f aca="false">IFERROR(__xludf.dummyfunction("""COMPUTED_VALUE"""),"Poppie")</f>
        <v>Poppie</v>
      </c>
      <c r="C19" s="3" t="str">
        <f aca="false">IFERROR(__xludf.dummyfunction("""COMPUTED_VALUE"""),"Keddle")</f>
        <v>Keddle</v>
      </c>
      <c r="D19" s="3" t="str">
        <f aca="false">IFERROR(__xludf.dummyfunction("""COMPUTED_VALUE"""),"ALTON GC")</f>
        <v>ALTON GC</v>
      </c>
      <c r="E19" s="3" t="str">
        <f aca="false">IFERROR(__xludf.dummyfunction("""COMPUTED_VALUE"""),"Grade 3")</f>
        <v>Grade 3</v>
      </c>
      <c r="F19" s="3" t="n">
        <f aca="false">IFERROR(__xludf.dummyfunction("""COMPUTED_VALUE"""),4)</f>
        <v>4</v>
      </c>
      <c r="G19" s="3"/>
      <c r="H19" s="3"/>
      <c r="I19" s="3" t="n">
        <f aca="false">IFERROR(__xludf.dummyfunction("""COMPUTED_VALUE"""),4)</f>
        <v>4</v>
      </c>
      <c r="J19" s="3"/>
      <c r="K19" s="3"/>
      <c r="L19" s="4" t="n">
        <f aca="false">IFERROR(__xludf.dummyfunction("""COMPUTED_VALUE"""),12.05)</f>
        <v>12.05</v>
      </c>
      <c r="M19" s="3" t="n">
        <f aca="false">IFERROR(__xludf.dummyfunction("""COMPUTED_VALUE"""),4)</f>
        <v>4</v>
      </c>
      <c r="N19" s="3"/>
      <c r="O19" s="3"/>
      <c r="P19" s="4" t="n">
        <f aca="false">IFERROR(__xludf.dummyfunction("""COMPUTED_VALUE"""),10.45)</f>
        <v>10.45</v>
      </c>
      <c r="Q19" s="3" t="n">
        <f aca="false">IFERROR(__xludf.dummyfunction("""COMPUTED_VALUE"""),3.5)</f>
        <v>3.5</v>
      </c>
      <c r="R19" s="3"/>
      <c r="S19" s="3" t="n">
        <f aca="false">IFERROR(__xludf.dummyfunction("""COMPUTED_VALUE"""),0.5)</f>
        <v>0.5</v>
      </c>
      <c r="T19" s="4" t="n">
        <f aca="false">IFERROR(__xludf.dummyfunction("""COMPUTED_VALUE"""),8.8)</f>
        <v>8.8</v>
      </c>
      <c r="U19" s="3" t="n">
        <f aca="false">IFERROR(__xludf.dummyfunction("""COMPUTED_VALUE"""),4)</f>
        <v>4</v>
      </c>
      <c r="V19" s="3"/>
      <c r="W19" s="3"/>
      <c r="X19" s="4" t="n">
        <f aca="false">IFERROR(__xludf.dummyfunction("""COMPUTED_VALUE"""),10.2)</f>
        <v>10.2</v>
      </c>
      <c r="Y19" s="3" t="n">
        <f aca="false">IFERROR(__xludf.dummyfunction("""COMPUTED_VALUE"""),2.5)</f>
        <v>2.5</v>
      </c>
      <c r="Z19" s="3"/>
      <c r="AA19" s="3"/>
      <c r="AB19" s="4" t="n">
        <f aca="false">IFERROR(__xludf.dummyfunction("""COMPUTED_VALUE"""),9.05)</f>
        <v>9.05</v>
      </c>
      <c r="AC19" s="4" t="n">
        <f aca="false">IFERROR(__xludf.dummyfunction("""COMPUTED_VALUE"""),50.55)</f>
        <v>50.55</v>
      </c>
      <c r="AD19" s="3" t="n">
        <f aca="false">IFERROR(__xludf.dummyfunction("""COMPUTED_VALUE"""),17)</f>
        <v>17</v>
      </c>
    </row>
    <row r="20" customFormat="false" ht="15.75" hidden="false" customHeight="false" outlineLevel="0" collapsed="false">
      <c r="A20" s="3" t="n">
        <f aca="false">IFERROR(__xludf.dummyfunction("""COMPUTED_VALUE"""),72)</f>
        <v>72</v>
      </c>
      <c r="B20" s="3" t="str">
        <f aca="false">IFERROR(__xludf.dummyfunction("""COMPUTED_VALUE"""),"Isabel")</f>
        <v>Isabel</v>
      </c>
      <c r="C20" s="3" t="str">
        <f aca="false">IFERROR(__xludf.dummyfunction("""COMPUTED_VALUE"""),"Mitchell")</f>
        <v>Mitchell</v>
      </c>
      <c r="D20" s="3" t="str">
        <f aca="false">IFERROR(__xludf.dummyfunction("""COMPUTED_VALUE"""),"ALTON GC")</f>
        <v>ALTON GC</v>
      </c>
      <c r="E20" s="3" t="str">
        <f aca="false">IFERROR(__xludf.dummyfunction("""COMPUTED_VALUE"""),"Grade 3")</f>
        <v>Grade 3</v>
      </c>
      <c r="F20" s="3" t="n">
        <f aca="false">IFERROR(__xludf.dummyfunction("""COMPUTED_VALUE"""),4)</f>
        <v>4</v>
      </c>
      <c r="G20" s="3"/>
      <c r="H20" s="3"/>
      <c r="I20" s="3" t="n">
        <f aca="false">IFERROR(__xludf.dummyfunction("""COMPUTED_VALUE"""),4)</f>
        <v>4</v>
      </c>
      <c r="J20" s="3"/>
      <c r="K20" s="3"/>
      <c r="L20" s="4" t="n">
        <f aca="false">IFERROR(__xludf.dummyfunction("""COMPUTED_VALUE"""),12.25)</f>
        <v>12.25</v>
      </c>
      <c r="M20" s="3" t="n">
        <f aca="false">IFERROR(__xludf.dummyfunction("""COMPUTED_VALUE"""),4)</f>
        <v>4</v>
      </c>
      <c r="N20" s="3"/>
      <c r="O20" s="3"/>
      <c r="P20" s="4" t="n">
        <f aca="false">IFERROR(__xludf.dummyfunction("""COMPUTED_VALUE"""),11.15)</f>
        <v>11.15</v>
      </c>
      <c r="Q20" s="3" t="n">
        <f aca="false">IFERROR(__xludf.dummyfunction("""COMPUTED_VALUE"""),3)</f>
        <v>3</v>
      </c>
      <c r="R20" s="3"/>
      <c r="S20" s="3" t="n">
        <f aca="false">IFERROR(__xludf.dummyfunction("""COMPUTED_VALUE"""),0.5)</f>
        <v>0.5</v>
      </c>
      <c r="T20" s="4" t="n">
        <f aca="false">IFERROR(__xludf.dummyfunction("""COMPUTED_VALUE"""),8.5)</f>
        <v>8.5</v>
      </c>
      <c r="U20" s="3" t="n">
        <f aca="false">IFERROR(__xludf.dummyfunction("""COMPUTED_VALUE"""),4)</f>
        <v>4</v>
      </c>
      <c r="V20" s="3"/>
      <c r="W20" s="3"/>
      <c r="X20" s="4" t="n">
        <f aca="false">IFERROR(__xludf.dummyfunction("""COMPUTED_VALUE"""),11)</f>
        <v>11</v>
      </c>
      <c r="Y20" s="3" t="n">
        <f aca="false">IFERROR(__xludf.dummyfunction("""COMPUTED_VALUE"""),3.5)</f>
        <v>3.5</v>
      </c>
      <c r="Z20" s="3"/>
      <c r="AA20" s="3"/>
      <c r="AB20" s="4" t="n">
        <f aca="false">IFERROR(__xludf.dummyfunction("""COMPUTED_VALUE"""),11.85)</f>
        <v>11.85</v>
      </c>
      <c r="AC20" s="4" t="n">
        <f aca="false">IFERROR(__xludf.dummyfunction("""COMPUTED_VALUE"""),54.75)</f>
        <v>54.75</v>
      </c>
      <c r="AD20" s="3" t="n">
        <f aca="false">IFERROR(__xludf.dummyfunction("""COMPUTED_VALUE"""),13)</f>
        <v>13</v>
      </c>
    </row>
    <row r="21" customFormat="false" ht="15.75" hidden="false" customHeight="false" outlineLevel="0" collapsed="false">
      <c r="A21" s="3" t="n">
        <f aca="false">IFERROR(__xludf.dummyfunction("""COMPUTED_VALUE"""),73)</f>
        <v>73</v>
      </c>
      <c r="B21" s="3" t="str">
        <f aca="false">IFERROR(__xludf.dummyfunction("""COMPUTED_VALUE"""),"Daisy")</f>
        <v>Daisy</v>
      </c>
      <c r="C21" s="3" t="str">
        <f aca="false">IFERROR(__xludf.dummyfunction("""COMPUTED_VALUE"""),"Gorrie")</f>
        <v>Gorrie</v>
      </c>
      <c r="D21" s="3" t="str">
        <f aca="false">IFERROR(__xludf.dummyfunction("""COMPUTED_VALUE"""),"HART GC")</f>
        <v>HART GC</v>
      </c>
      <c r="E21" s="3" t="str">
        <f aca="false">IFERROR(__xludf.dummyfunction("""COMPUTED_VALUE"""),"Grade 3")</f>
        <v>Grade 3</v>
      </c>
      <c r="F21" s="3" t="n">
        <f aca="false">IFERROR(__xludf.dummyfunction("""COMPUTED_VALUE"""),4)</f>
        <v>4</v>
      </c>
      <c r="G21" s="3"/>
      <c r="H21" s="3"/>
      <c r="I21" s="3" t="n">
        <f aca="false">IFERROR(__xludf.dummyfunction("""COMPUTED_VALUE"""),4)</f>
        <v>4</v>
      </c>
      <c r="J21" s="3"/>
      <c r="K21" s="3"/>
      <c r="L21" s="4" t="n">
        <f aca="false">IFERROR(__xludf.dummyfunction("""COMPUTED_VALUE"""),12.2)</f>
        <v>12.2</v>
      </c>
      <c r="M21" s="3" t="n">
        <f aca="false">IFERROR(__xludf.dummyfunction("""COMPUTED_VALUE"""),3.4)</f>
        <v>3.4</v>
      </c>
      <c r="N21" s="3"/>
      <c r="O21" s="3"/>
      <c r="P21" s="4" t="n">
        <f aca="false">IFERROR(__xludf.dummyfunction("""COMPUTED_VALUE"""),9.65)</f>
        <v>9.65</v>
      </c>
      <c r="Q21" s="3" t="n">
        <f aca="false">IFERROR(__xludf.dummyfunction("""COMPUTED_VALUE"""),3)</f>
        <v>3</v>
      </c>
      <c r="R21" s="3"/>
      <c r="S21" s="3" t="n">
        <f aca="false">IFERROR(__xludf.dummyfunction("""COMPUTED_VALUE"""),0.5)</f>
        <v>0.5</v>
      </c>
      <c r="T21" s="4" t="n">
        <f aca="false">IFERROR(__xludf.dummyfunction("""COMPUTED_VALUE"""),7.5)</f>
        <v>7.5</v>
      </c>
      <c r="U21" s="3" t="n">
        <f aca="false">IFERROR(__xludf.dummyfunction("""COMPUTED_VALUE"""),4)</f>
        <v>4</v>
      </c>
      <c r="V21" s="3"/>
      <c r="W21" s="3"/>
      <c r="X21" s="4" t="n">
        <f aca="false">IFERROR(__xludf.dummyfunction("""COMPUTED_VALUE"""),9.55)</f>
        <v>9.55</v>
      </c>
      <c r="Y21" s="3" t="n">
        <f aca="false">IFERROR(__xludf.dummyfunction("""COMPUTED_VALUE"""),3.5)</f>
        <v>3.5</v>
      </c>
      <c r="Z21" s="3"/>
      <c r="AA21" s="3"/>
      <c r="AB21" s="4" t="n">
        <f aca="false">IFERROR(__xludf.dummyfunction("""COMPUTED_VALUE"""),10.85)</f>
        <v>10.85</v>
      </c>
      <c r="AC21" s="4" t="n">
        <f aca="false">IFERROR(__xludf.dummyfunction("""COMPUTED_VALUE"""),49.75)</f>
        <v>49.75</v>
      </c>
      <c r="AD21" s="3" t="n">
        <f aca="false">IFERROR(__xludf.dummyfunction("""COMPUTED_VALUE"""),18)</f>
        <v>18</v>
      </c>
    </row>
  </sheetData>
  <mergeCells count="1">
    <mergeCell ref="A1:AD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.38"/>
    <col collapsed="false" customWidth="true" hidden="false" outlineLevel="0" max="2" min="2" style="0" width="9.25"/>
    <col collapsed="false" customWidth="true" hidden="false" outlineLevel="0" max="3" min="3" style="0" width="12.25"/>
    <col collapsed="false" customWidth="true" hidden="false" outlineLevel="0" max="4" min="4" style="0" width="9.38"/>
    <col collapsed="false" customWidth="false" hidden="true" outlineLevel="0" max="5" min="5" style="0" width="12.63"/>
    <col collapsed="false" customWidth="true" hidden="false" outlineLevel="0" max="6" min="6" style="0" width="4.63"/>
    <col collapsed="false" customWidth="true" hidden="false" outlineLevel="0" max="7" min="7" style="0" width="3.5"/>
    <col collapsed="false" customWidth="true" hidden="false" outlineLevel="0" max="8" min="8" style="0" width="4.75"/>
    <col collapsed="false" customWidth="true" hidden="false" outlineLevel="0" max="9" min="9" style="0" width="4.63"/>
    <col collapsed="false" customWidth="true" hidden="false" outlineLevel="0" max="10" min="10" style="0" width="3.5"/>
    <col collapsed="false" customWidth="true" hidden="false" outlineLevel="0" max="11" min="11" style="0" width="4.75"/>
    <col collapsed="false" customWidth="true" hidden="false" outlineLevel="0" max="13" min="13" style="0" width="3.25"/>
    <col collapsed="false" customWidth="true" hidden="false" outlineLevel="0" max="14" min="14" style="0" width="2.12"/>
    <col collapsed="false" customWidth="true" hidden="false" outlineLevel="0" max="15" min="15" style="0" width="3.37"/>
    <col collapsed="false" customWidth="true" hidden="false" outlineLevel="0" max="17" min="17" style="0" width="3.25"/>
    <col collapsed="false" customWidth="true" hidden="false" outlineLevel="0" max="18" min="18" style="0" width="2.12"/>
    <col collapsed="false" customWidth="true" hidden="false" outlineLevel="0" max="19" min="19" style="0" width="3.37"/>
    <col collapsed="false" customWidth="true" hidden="false" outlineLevel="0" max="21" min="21" style="0" width="3.25"/>
    <col collapsed="false" customWidth="true" hidden="false" outlineLevel="0" max="22" min="22" style="0" width="2.12"/>
    <col collapsed="false" customWidth="true" hidden="false" outlineLevel="0" max="23" min="23" style="0" width="3.37"/>
    <col collapsed="false" customWidth="true" hidden="false" outlineLevel="0" max="25" min="25" style="0" width="3.25"/>
    <col collapsed="false" customWidth="true" hidden="false" outlineLevel="0" max="26" min="26" style="0" width="2.12"/>
    <col collapsed="false" customWidth="true" hidden="false" outlineLevel="0" max="27" min="27" style="0" width="3.37"/>
    <col collapsed="false" customWidth="true" hidden="false" outlineLevel="0" max="30" min="30" style="0" width="3.88"/>
  </cols>
  <sheetData>
    <row r="1" customFormat="false" ht="15.75" hidden="false" customHeight="false" outlineLevel="0" collapsed="false">
      <c r="A1" s="1" t="str">
        <f aca="false">IFERROR(__xludf.dummyfunction("IMPORTRANGE(""https://docs.google.com/spreadsheets/d/12hYoABwbIKZWH999TWWKy4O4jwUQxKKoQeVE5C79uUA/edit#gid=145122673"",""Grade 4 Results!A1:AD40"")"),"Grade 4")</f>
        <v>Grade 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customFormat="false" ht="15.75" hidden="false" customHeight="false" outlineLevel="0" collapsed="false">
      <c r="A2" s="3" t="str">
        <f aca="false">IFERROR(__xludf.dummyfunction("""COMPUTED_VALUE"""),"No.")</f>
        <v>No.</v>
      </c>
      <c r="B2" s="3" t="str">
        <f aca="false">IFERROR(__xludf.dummyfunction("""COMPUTED_VALUE"""),"Name")</f>
        <v>Name</v>
      </c>
      <c r="C2" s="3"/>
      <c r="D2" s="3" t="str">
        <f aca="false">IFERROR(__xludf.dummyfunction("""COMPUTED_VALUE"""),"Club")</f>
        <v>Club</v>
      </c>
      <c r="E2" s="3" t="str">
        <f aca="false">IFERROR(__xludf.dummyfunction("""COMPUTED_VALUE"""),"Level")</f>
        <v>Level</v>
      </c>
      <c r="F2" s="3" t="str">
        <f aca="false">IFERROR(__xludf.dummyfunction("""COMPUTED_VALUE"""),"1 SV")</f>
        <v>1 SV</v>
      </c>
      <c r="G2" s="3" t="str">
        <f aca="false">IFERROR(__xludf.dummyfunction("""COMPUTED_VALUE"""),"1 B")</f>
        <v>1 B</v>
      </c>
      <c r="H2" s="3" t="str">
        <f aca="false">IFERROR(__xludf.dummyfunction("""COMPUTED_VALUE"""),"1 ND")</f>
        <v>1 ND</v>
      </c>
      <c r="I2" s="3" t="str">
        <f aca="false">IFERROR(__xludf.dummyfunction("""COMPUTED_VALUE"""),"2 SV")</f>
        <v>2 SV</v>
      </c>
      <c r="J2" s="3" t="str">
        <f aca="false">IFERROR(__xludf.dummyfunction("""COMPUTED_VALUE"""),"2 B")</f>
        <v>2 B</v>
      </c>
      <c r="K2" s="3" t="str">
        <f aca="false">IFERROR(__xludf.dummyfunction("""COMPUTED_VALUE"""),"2 ND")</f>
        <v>2 ND</v>
      </c>
      <c r="L2" s="3" t="str">
        <f aca="false">IFERROR(__xludf.dummyfunction("""COMPUTED_VALUE"""),"Vault")</f>
        <v>Vault</v>
      </c>
      <c r="M2" s="3" t="str">
        <f aca="false">IFERROR(__xludf.dummyfunction("""COMPUTED_VALUE"""),"SV")</f>
        <v>SV</v>
      </c>
      <c r="N2" s="3" t="str">
        <f aca="false">IFERROR(__xludf.dummyfunction("""COMPUTED_VALUE"""),"B")</f>
        <v>B</v>
      </c>
      <c r="O2" s="3" t="str">
        <f aca="false">IFERROR(__xludf.dummyfunction("""COMPUTED_VALUE"""),"ND")</f>
        <v>ND</v>
      </c>
      <c r="P2" s="3" t="str">
        <f aca="false">IFERROR(__xludf.dummyfunction("""COMPUTED_VALUE"""),"Bars")</f>
        <v>Bars</v>
      </c>
      <c r="Q2" s="3" t="str">
        <f aca="false">IFERROR(__xludf.dummyfunction("""COMPUTED_VALUE"""),"SV")</f>
        <v>SV</v>
      </c>
      <c r="R2" s="3" t="str">
        <f aca="false">IFERROR(__xludf.dummyfunction("""COMPUTED_VALUE"""),"B")</f>
        <v>B</v>
      </c>
      <c r="S2" s="3" t="str">
        <f aca="false">IFERROR(__xludf.dummyfunction("""COMPUTED_VALUE"""),"ND")</f>
        <v>ND</v>
      </c>
      <c r="T2" s="3" t="str">
        <f aca="false">IFERROR(__xludf.dummyfunction("""COMPUTED_VALUE"""),"Beam")</f>
        <v>Beam</v>
      </c>
      <c r="U2" s="3" t="str">
        <f aca="false">IFERROR(__xludf.dummyfunction("""COMPUTED_VALUE"""),"SV")</f>
        <v>SV</v>
      </c>
      <c r="V2" s="3" t="str">
        <f aca="false">IFERROR(__xludf.dummyfunction("""COMPUTED_VALUE"""),"B")</f>
        <v>B</v>
      </c>
      <c r="W2" s="3" t="str">
        <f aca="false">IFERROR(__xludf.dummyfunction("""COMPUTED_VALUE"""),"ND")</f>
        <v>ND</v>
      </c>
      <c r="X2" s="3" t="str">
        <f aca="false">IFERROR(__xludf.dummyfunction("""COMPUTED_VALUE"""),"Floor")</f>
        <v>Floor</v>
      </c>
      <c r="Y2" s="3" t="str">
        <f aca="false">IFERROR(__xludf.dummyfunction("""COMPUTED_VALUE"""),"SV")</f>
        <v>SV</v>
      </c>
      <c r="Z2" s="3" t="str">
        <f aca="false">IFERROR(__xludf.dummyfunction("""COMPUTED_VALUE"""),"B")</f>
        <v>B</v>
      </c>
      <c r="AA2" s="3" t="str">
        <f aca="false">IFERROR(__xludf.dummyfunction("""COMPUTED_VALUE"""),"ND")</f>
        <v>ND</v>
      </c>
      <c r="AB2" s="3" t="str">
        <f aca="false">IFERROR(__xludf.dummyfunction("""COMPUTED_VALUE"""),"R&amp;C")</f>
        <v>R&amp;C</v>
      </c>
      <c r="AC2" s="3" t="str">
        <f aca="false">IFERROR(__xludf.dummyfunction("""COMPUTED_VALUE"""),"Total")</f>
        <v>Total</v>
      </c>
      <c r="AD2" s="3" t="str">
        <f aca="false">IFERROR(__xludf.dummyfunction("""COMPUTED_VALUE"""),"Pos")</f>
        <v>Pos</v>
      </c>
    </row>
    <row r="3" customFormat="false" ht="15.75" hidden="false" customHeight="false" outlineLevel="0" collapsed="false">
      <c r="A3" s="3" t="n">
        <f aca="false">IFERROR(__xludf.dummyfunction("""COMPUTED_VALUE"""),74)</f>
        <v>74</v>
      </c>
      <c r="B3" s="3" t="str">
        <f aca="false">IFERROR(__xludf.dummyfunction("""COMPUTED_VALUE"""),"Sophie")</f>
        <v>Sophie</v>
      </c>
      <c r="C3" s="3" t="str">
        <f aca="false">IFERROR(__xludf.dummyfunction("""COMPUTED_VALUE"""),"Luff")</f>
        <v>Luff</v>
      </c>
      <c r="D3" s="3" t="str">
        <f aca="false">IFERROR(__xludf.dummyfunction("""COMPUTED_VALUE"""),"PGC")</f>
        <v>PGC</v>
      </c>
      <c r="E3" s="3" t="str">
        <f aca="false">IFERROR(__xludf.dummyfunction("""COMPUTED_VALUE"""),"Grade 4")</f>
        <v>Grade 4</v>
      </c>
      <c r="F3" s="3" t="n">
        <f aca="false">IFERROR(__xludf.dummyfunction("""COMPUTED_VALUE"""),4)</f>
        <v>4</v>
      </c>
      <c r="G3" s="3"/>
      <c r="H3" s="3"/>
      <c r="I3" s="3" t="n">
        <f aca="false">IFERROR(__xludf.dummyfunction("""COMPUTED_VALUE"""),4)</f>
        <v>4</v>
      </c>
      <c r="J3" s="3"/>
      <c r="K3" s="3"/>
      <c r="L3" s="4" t="n">
        <f aca="false">IFERROR(__xludf.dummyfunction("""COMPUTED_VALUE"""),12.3)</f>
        <v>12.3</v>
      </c>
      <c r="M3" s="3" t="n">
        <f aca="false">IFERROR(__xludf.dummyfunction("""COMPUTED_VALUE"""),4)</f>
        <v>4</v>
      </c>
      <c r="N3" s="3"/>
      <c r="O3" s="3"/>
      <c r="P3" s="4" t="n">
        <f aca="false">IFERROR(__xludf.dummyfunction("""COMPUTED_VALUE"""),13.45)</f>
        <v>13.45</v>
      </c>
      <c r="Q3" s="3" t="n">
        <f aca="false">IFERROR(__xludf.dummyfunction("""COMPUTED_VALUE"""),4)</f>
        <v>4</v>
      </c>
      <c r="R3" s="3"/>
      <c r="S3" s="3"/>
      <c r="T3" s="4" t="n">
        <f aca="false">IFERROR(__xludf.dummyfunction("""COMPUTED_VALUE"""),11.8)</f>
        <v>11.8</v>
      </c>
      <c r="U3" s="3" t="n">
        <f aca="false">IFERROR(__xludf.dummyfunction("""COMPUTED_VALUE"""),4)</f>
        <v>4</v>
      </c>
      <c r="V3" s="3"/>
      <c r="W3" s="3"/>
      <c r="X3" s="4" t="n">
        <f aca="false">IFERROR(__xludf.dummyfunction("""COMPUTED_VALUE"""),11.55)</f>
        <v>11.55</v>
      </c>
      <c r="Y3" s="3" t="n">
        <f aca="false">IFERROR(__xludf.dummyfunction("""COMPUTED_VALUE"""),3)</f>
        <v>3</v>
      </c>
      <c r="Z3" s="3"/>
      <c r="AA3" s="3"/>
      <c r="AB3" s="4" t="n">
        <f aca="false">IFERROR(__xludf.dummyfunction("""COMPUTED_VALUE"""),12.25)</f>
        <v>12.25</v>
      </c>
      <c r="AC3" s="4" t="n">
        <f aca="false">IFERROR(__xludf.dummyfunction("""COMPUTED_VALUE"""),61.35)</f>
        <v>61.35</v>
      </c>
      <c r="AD3" s="3" t="n">
        <f aca="false">IFERROR(__xludf.dummyfunction("""COMPUTED_VALUE"""),2)</f>
        <v>2</v>
      </c>
    </row>
    <row r="4" customFormat="false" ht="15.75" hidden="false" customHeight="false" outlineLevel="0" collapsed="false">
      <c r="A4" s="3" t="n">
        <f aca="false">IFERROR(__xludf.dummyfunction("""COMPUTED_VALUE"""),75)</f>
        <v>75</v>
      </c>
      <c r="B4" s="3" t="str">
        <f aca="false">IFERROR(__xludf.dummyfunction("""COMPUTED_VALUE"""),"Annabel")</f>
        <v>Annabel</v>
      </c>
      <c r="C4" s="3" t="str">
        <f aca="false">IFERROR(__xludf.dummyfunction("""COMPUTED_VALUE"""),"Walker")</f>
        <v>Walker</v>
      </c>
      <c r="D4" s="3" t="str">
        <f aca="false">IFERROR(__xludf.dummyfunction("""COMPUTED_VALUE"""),"PGC")</f>
        <v>PGC</v>
      </c>
      <c r="E4" s="3" t="str">
        <f aca="false">IFERROR(__xludf.dummyfunction("""COMPUTED_VALUE"""),"Grade 4")</f>
        <v>Grade 4</v>
      </c>
      <c r="F4" s="3" t="n">
        <f aca="false">IFERROR(__xludf.dummyfunction("""COMPUTED_VALUE"""),4)</f>
        <v>4</v>
      </c>
      <c r="G4" s="3"/>
      <c r="H4" s="3"/>
      <c r="I4" s="3" t="n">
        <f aca="false">IFERROR(__xludf.dummyfunction("""COMPUTED_VALUE"""),4)</f>
        <v>4</v>
      </c>
      <c r="J4" s="3"/>
      <c r="K4" s="3"/>
      <c r="L4" s="4" t="n">
        <f aca="false">IFERROR(__xludf.dummyfunction("""COMPUTED_VALUE"""),12.95)</f>
        <v>12.95</v>
      </c>
      <c r="M4" s="3" t="n">
        <f aca="false">IFERROR(__xludf.dummyfunction("""COMPUTED_VALUE"""),4)</f>
        <v>4</v>
      </c>
      <c r="N4" s="3"/>
      <c r="O4" s="3"/>
      <c r="P4" s="4" t="n">
        <f aca="false">IFERROR(__xludf.dummyfunction("""COMPUTED_VALUE"""),13.45)</f>
        <v>13.45</v>
      </c>
      <c r="Q4" s="3" t="n">
        <f aca="false">IFERROR(__xludf.dummyfunction("""COMPUTED_VALUE"""),4)</f>
        <v>4</v>
      </c>
      <c r="R4" s="3"/>
      <c r="S4" s="3"/>
      <c r="T4" s="4" t="n">
        <f aca="false">IFERROR(__xludf.dummyfunction("""COMPUTED_VALUE"""),12.3)</f>
        <v>12.3</v>
      </c>
      <c r="U4" s="3" t="n">
        <f aca="false">IFERROR(__xludf.dummyfunction("""COMPUTED_VALUE"""),4)</f>
        <v>4</v>
      </c>
      <c r="V4" s="3"/>
      <c r="W4" s="3"/>
      <c r="X4" s="4" t="n">
        <f aca="false">IFERROR(__xludf.dummyfunction("""COMPUTED_VALUE"""),12.05)</f>
        <v>12.05</v>
      </c>
      <c r="Y4" s="3" t="n">
        <f aca="false">IFERROR(__xludf.dummyfunction("""COMPUTED_VALUE"""),2.5)</f>
        <v>2.5</v>
      </c>
      <c r="Z4" s="3"/>
      <c r="AA4" s="3"/>
      <c r="AB4" s="4" t="n">
        <f aca="false">IFERROR(__xludf.dummyfunction("""COMPUTED_VALUE"""),10.5)</f>
        <v>10.5</v>
      </c>
      <c r="AC4" s="4" t="n">
        <f aca="false">IFERROR(__xludf.dummyfunction("""COMPUTED_VALUE"""),61.25)</f>
        <v>61.25</v>
      </c>
      <c r="AD4" s="3" t="n">
        <f aca="false">IFERROR(__xludf.dummyfunction("""COMPUTED_VALUE"""),3)</f>
        <v>3</v>
      </c>
    </row>
    <row r="5" customFormat="false" ht="15.75" hidden="false" customHeight="false" outlineLevel="0" collapsed="false">
      <c r="A5" s="3" t="n">
        <f aca="false">IFERROR(__xludf.dummyfunction("""COMPUTED_VALUE"""),76)</f>
        <v>76</v>
      </c>
      <c r="B5" s="3" t="str">
        <f aca="false">IFERROR(__xludf.dummyfunction("""COMPUTED_VALUE"""),"Cora-Leigh")</f>
        <v>Cora-Leigh</v>
      </c>
      <c r="C5" s="3" t="str">
        <f aca="false">IFERROR(__xludf.dummyfunction("""COMPUTED_VALUE"""),"Ferguson")</f>
        <v>Ferguson</v>
      </c>
      <c r="D5" s="3" t="str">
        <f aca="false">IFERROR(__xludf.dummyfunction("""COMPUTED_VALUE"""),"PGC")</f>
        <v>PGC</v>
      </c>
      <c r="E5" s="3" t="str">
        <f aca="false">IFERROR(__xludf.dummyfunction("""COMPUTED_VALUE"""),"Grade 4")</f>
        <v>Grade 4</v>
      </c>
      <c r="F5" s="3" t="n">
        <f aca="false">IFERROR(__xludf.dummyfunction("""COMPUTED_VALUE"""),4)</f>
        <v>4</v>
      </c>
      <c r="G5" s="3"/>
      <c r="H5" s="3"/>
      <c r="I5" s="3" t="n">
        <f aca="false">IFERROR(__xludf.dummyfunction("""COMPUTED_VALUE"""),4)</f>
        <v>4</v>
      </c>
      <c r="J5" s="3"/>
      <c r="K5" s="3"/>
      <c r="L5" s="4" t="n">
        <f aca="false">IFERROR(__xludf.dummyfunction("""COMPUTED_VALUE"""),12.9)</f>
        <v>12.9</v>
      </c>
      <c r="M5" s="3" t="n">
        <f aca="false">IFERROR(__xludf.dummyfunction("""COMPUTED_VALUE"""),4)</f>
        <v>4</v>
      </c>
      <c r="N5" s="3"/>
      <c r="O5" s="3"/>
      <c r="P5" s="4" t="n">
        <f aca="false">IFERROR(__xludf.dummyfunction("""COMPUTED_VALUE"""),13.35)</f>
        <v>13.35</v>
      </c>
      <c r="Q5" s="3" t="n">
        <f aca="false">IFERROR(__xludf.dummyfunction("""COMPUTED_VALUE"""),4)</f>
        <v>4</v>
      </c>
      <c r="R5" s="3"/>
      <c r="S5" s="3"/>
      <c r="T5" s="4" t="n">
        <f aca="false">IFERROR(__xludf.dummyfunction("""COMPUTED_VALUE"""),11.3)</f>
        <v>11.3</v>
      </c>
      <c r="U5" s="3" t="n">
        <f aca="false">IFERROR(__xludf.dummyfunction("""COMPUTED_VALUE"""),4)</f>
        <v>4</v>
      </c>
      <c r="V5" s="3"/>
      <c r="W5" s="3"/>
      <c r="X5" s="4" t="n">
        <f aca="false">IFERROR(__xludf.dummyfunction("""COMPUTED_VALUE"""),12)</f>
        <v>12</v>
      </c>
      <c r="Y5" s="3" t="n">
        <f aca="false">IFERROR(__xludf.dummyfunction("""COMPUTED_VALUE"""),3.5)</f>
        <v>3.5</v>
      </c>
      <c r="Z5" s="3"/>
      <c r="AA5" s="3"/>
      <c r="AB5" s="4" t="n">
        <f aca="false">IFERROR(__xludf.dummyfunction("""COMPUTED_VALUE"""),12)</f>
        <v>12</v>
      </c>
      <c r="AC5" s="4" t="n">
        <f aca="false">IFERROR(__xludf.dummyfunction("""COMPUTED_VALUE"""),61.55)</f>
        <v>61.55</v>
      </c>
      <c r="AD5" s="3" t="n">
        <f aca="false">IFERROR(__xludf.dummyfunction("""COMPUTED_VALUE"""),1)</f>
        <v>1</v>
      </c>
    </row>
    <row r="6" customFormat="false" ht="15.75" hidden="false" customHeight="false" outlineLevel="0" collapsed="false">
      <c r="A6" s="3" t="n">
        <f aca="false">IFERROR(__xludf.dummyfunction("""COMPUTED_VALUE"""),77)</f>
        <v>77</v>
      </c>
      <c r="B6" s="3" t="str">
        <f aca="false">IFERROR(__xludf.dummyfunction("""COMPUTED_VALUE"""),"Ava")</f>
        <v>Ava</v>
      </c>
      <c r="C6" s="3" t="str">
        <f aca="false">IFERROR(__xludf.dummyfunction("""COMPUTED_VALUE"""),"Haggard")</f>
        <v>Haggard</v>
      </c>
      <c r="D6" s="3" t="str">
        <f aca="false">IFERROR(__xludf.dummyfunction("""COMPUTED_VALUE"""),"FSG")</f>
        <v>FSG</v>
      </c>
      <c r="E6" s="3" t="str">
        <f aca="false">IFERROR(__xludf.dummyfunction("""COMPUTED_VALUE"""),"Grade 4")</f>
        <v>Grade 4</v>
      </c>
      <c r="F6" s="3" t="n">
        <f aca="false">IFERROR(__xludf.dummyfunction("""COMPUTED_VALUE"""),4)</f>
        <v>4</v>
      </c>
      <c r="G6" s="3"/>
      <c r="H6" s="3"/>
      <c r="I6" s="3" t="n">
        <f aca="false">IFERROR(__xludf.dummyfunction("""COMPUTED_VALUE"""),4)</f>
        <v>4</v>
      </c>
      <c r="J6" s="3"/>
      <c r="K6" s="3"/>
      <c r="L6" s="4" t="n">
        <f aca="false">IFERROR(__xludf.dummyfunction("""COMPUTED_VALUE"""),12.15)</f>
        <v>12.15</v>
      </c>
      <c r="M6" s="3" t="n">
        <f aca="false">IFERROR(__xludf.dummyfunction("""COMPUTED_VALUE"""),4)</f>
        <v>4</v>
      </c>
      <c r="N6" s="3"/>
      <c r="O6" s="3"/>
      <c r="P6" s="4" t="n">
        <f aca="false">IFERROR(__xludf.dummyfunction("""COMPUTED_VALUE"""),12.65)</f>
        <v>12.65</v>
      </c>
      <c r="Q6" s="3" t="n">
        <f aca="false">IFERROR(__xludf.dummyfunction("""COMPUTED_VALUE"""),4)</f>
        <v>4</v>
      </c>
      <c r="R6" s="3"/>
      <c r="S6" s="3"/>
      <c r="T6" s="4" t="n">
        <f aca="false">IFERROR(__xludf.dummyfunction("""COMPUTED_VALUE"""),11.9)</f>
        <v>11.9</v>
      </c>
      <c r="U6" s="3" t="n">
        <f aca="false">IFERROR(__xludf.dummyfunction("""COMPUTED_VALUE"""),4)</f>
        <v>4</v>
      </c>
      <c r="V6" s="3"/>
      <c r="W6" s="3"/>
      <c r="X6" s="4" t="n">
        <f aca="false">IFERROR(__xludf.dummyfunction("""COMPUTED_VALUE"""),11.6)</f>
        <v>11.6</v>
      </c>
      <c r="Y6" s="3" t="n">
        <f aca="false">IFERROR(__xludf.dummyfunction("""COMPUTED_VALUE"""),4)</f>
        <v>4</v>
      </c>
      <c r="Z6" s="3"/>
      <c r="AA6" s="3"/>
      <c r="AB6" s="4" t="n">
        <f aca="false">IFERROR(__xludf.dummyfunction("""COMPUTED_VALUE"""),12.3)</f>
        <v>12.3</v>
      </c>
      <c r="AC6" s="4" t="n">
        <f aca="false">IFERROR(__xludf.dummyfunction("""COMPUTED_VALUE"""),60.6)</f>
        <v>60.6</v>
      </c>
      <c r="AD6" s="3" t="n">
        <f aca="false">IFERROR(__xludf.dummyfunction("""COMPUTED_VALUE"""),4)</f>
        <v>4</v>
      </c>
    </row>
    <row r="7" customFormat="false" ht="15.75" hidden="false" customHeight="false" outlineLevel="0" collapsed="false">
      <c r="A7" s="3" t="n">
        <f aca="false">IFERROR(__xludf.dummyfunction("""COMPUTED_VALUE"""),78)</f>
        <v>78</v>
      </c>
      <c r="B7" s="3" t="str">
        <f aca="false">IFERROR(__xludf.dummyfunction("""COMPUTED_VALUE"""),"Millie")</f>
        <v>Millie</v>
      </c>
      <c r="C7" s="3" t="str">
        <f aca="false">IFERROR(__xludf.dummyfunction("""COMPUTED_VALUE"""),"George-Evans")</f>
        <v>George-Evans</v>
      </c>
      <c r="D7" s="3" t="str">
        <f aca="false">IFERROR(__xludf.dummyfunction("""COMPUTED_VALUE"""),"FSG")</f>
        <v>FSG</v>
      </c>
      <c r="E7" s="3" t="str">
        <f aca="false">IFERROR(__xludf.dummyfunction("""COMPUTED_VALUE"""),"Grade 4")</f>
        <v>Grade 4</v>
      </c>
      <c r="F7" s="3" t="n">
        <f aca="false">IFERROR(__xludf.dummyfunction("""COMPUTED_VALUE"""),4)</f>
        <v>4</v>
      </c>
      <c r="G7" s="3"/>
      <c r="H7" s="3"/>
      <c r="I7" s="3" t="n">
        <f aca="false">IFERROR(__xludf.dummyfunction("""COMPUTED_VALUE"""),4)</f>
        <v>4</v>
      </c>
      <c r="J7" s="3"/>
      <c r="K7" s="3"/>
      <c r="L7" s="4" t="n">
        <f aca="false">IFERROR(__xludf.dummyfunction("""COMPUTED_VALUE"""),12.6)</f>
        <v>12.6</v>
      </c>
      <c r="M7" s="3" t="n">
        <f aca="false">IFERROR(__xludf.dummyfunction("""COMPUTED_VALUE"""),4)</f>
        <v>4</v>
      </c>
      <c r="N7" s="3"/>
      <c r="O7" s="3"/>
      <c r="P7" s="4" t="n">
        <f aca="false">IFERROR(__xludf.dummyfunction("""COMPUTED_VALUE"""),13.2)</f>
        <v>13.2</v>
      </c>
      <c r="Q7" s="3" t="n">
        <f aca="false">IFERROR(__xludf.dummyfunction("""COMPUTED_VALUE"""),3.5)</f>
        <v>3.5</v>
      </c>
      <c r="R7" s="3"/>
      <c r="S7" s="3"/>
      <c r="T7" s="4" t="n">
        <f aca="false">IFERROR(__xludf.dummyfunction("""COMPUTED_VALUE"""),10)</f>
        <v>10</v>
      </c>
      <c r="U7" s="3" t="n">
        <f aca="false">IFERROR(__xludf.dummyfunction("""COMPUTED_VALUE"""),4)</f>
        <v>4</v>
      </c>
      <c r="V7" s="3"/>
      <c r="W7" s="3"/>
      <c r="X7" s="4" t="n">
        <f aca="false">IFERROR(__xludf.dummyfunction("""COMPUTED_VALUE"""),11.7)</f>
        <v>11.7</v>
      </c>
      <c r="Y7" s="3" t="n">
        <f aca="false">IFERROR(__xludf.dummyfunction("""COMPUTED_VALUE"""),4)</f>
        <v>4</v>
      </c>
      <c r="Z7" s="3"/>
      <c r="AA7" s="3"/>
      <c r="AB7" s="4" t="n">
        <f aca="false">IFERROR(__xludf.dummyfunction("""COMPUTED_VALUE"""),13)</f>
        <v>13</v>
      </c>
      <c r="AC7" s="4" t="n">
        <f aca="false">IFERROR(__xludf.dummyfunction("""COMPUTED_VALUE"""),60.5)</f>
        <v>60.5</v>
      </c>
      <c r="AD7" s="3" t="n">
        <f aca="false">IFERROR(__xludf.dummyfunction("""COMPUTED_VALUE"""),5)</f>
        <v>5</v>
      </c>
    </row>
    <row r="8" customFormat="false" ht="15.75" hidden="false" customHeight="false" outlineLevel="0" collapsed="false">
      <c r="A8" s="3" t="n">
        <f aca="false">IFERROR(__xludf.dummyfunction("""COMPUTED_VALUE"""),79)</f>
        <v>79</v>
      </c>
      <c r="B8" s="3" t="str">
        <f aca="false">IFERROR(__xludf.dummyfunction("""COMPUTED_VALUE"""),"Leah-Rose")</f>
        <v>Leah-Rose</v>
      </c>
      <c r="C8" s="3" t="str">
        <f aca="false">IFERROR(__xludf.dummyfunction("""COMPUTED_VALUE"""),"Fleck")</f>
        <v>Fleck</v>
      </c>
      <c r="D8" s="3" t="str">
        <f aca="false">IFERROR(__xludf.dummyfunction("""COMPUTED_VALUE"""),"BAS GC")</f>
        <v>BAS GC</v>
      </c>
      <c r="E8" s="3" t="str">
        <f aca="false">IFERROR(__xludf.dummyfunction("""COMPUTED_VALUE"""),"Grade 4")</f>
        <v>Grade 4</v>
      </c>
      <c r="F8" s="3" t="n">
        <f aca="false">IFERROR(__xludf.dummyfunction("""COMPUTED_VALUE"""),4)</f>
        <v>4</v>
      </c>
      <c r="G8" s="3"/>
      <c r="H8" s="3"/>
      <c r="I8" s="3" t="n">
        <f aca="false">IFERROR(__xludf.dummyfunction("""COMPUTED_VALUE"""),4)</f>
        <v>4</v>
      </c>
      <c r="J8" s="3"/>
      <c r="K8" s="3"/>
      <c r="L8" s="4" t="n">
        <f aca="false">IFERROR(__xludf.dummyfunction("""COMPUTED_VALUE"""),11.65)</f>
        <v>11.65</v>
      </c>
      <c r="M8" s="3" t="n">
        <f aca="false">IFERROR(__xludf.dummyfunction("""COMPUTED_VALUE"""),4)</f>
        <v>4</v>
      </c>
      <c r="N8" s="3"/>
      <c r="O8" s="3"/>
      <c r="P8" s="4" t="n">
        <f aca="false">IFERROR(__xludf.dummyfunction("""COMPUTED_VALUE"""),13.35)</f>
        <v>13.35</v>
      </c>
      <c r="Q8" s="3" t="n">
        <f aca="false">IFERROR(__xludf.dummyfunction("""COMPUTED_VALUE"""),3.5)</f>
        <v>3.5</v>
      </c>
      <c r="R8" s="3"/>
      <c r="S8" s="3" t="n">
        <f aca="false">IFERROR(__xludf.dummyfunction("""COMPUTED_VALUE"""),0.5)</f>
        <v>0.5</v>
      </c>
      <c r="T8" s="4" t="n">
        <f aca="false">IFERROR(__xludf.dummyfunction("""COMPUTED_VALUE"""),10.3)</f>
        <v>10.3</v>
      </c>
      <c r="U8" s="3" t="n">
        <f aca="false">IFERROR(__xludf.dummyfunction("""COMPUTED_VALUE"""),4)</f>
        <v>4</v>
      </c>
      <c r="V8" s="3"/>
      <c r="W8" s="3"/>
      <c r="X8" s="4" t="n">
        <f aca="false">IFERROR(__xludf.dummyfunction("""COMPUTED_VALUE"""),11.65)</f>
        <v>11.65</v>
      </c>
      <c r="Y8" s="3" t="n">
        <f aca="false">IFERROR(__xludf.dummyfunction("""COMPUTED_VALUE"""),3.5)</f>
        <v>3.5</v>
      </c>
      <c r="Z8" s="3"/>
      <c r="AA8" s="3"/>
      <c r="AB8" s="4" t="n">
        <f aca="false">IFERROR(__xludf.dummyfunction("""COMPUTED_VALUE"""),12.5)</f>
        <v>12.5</v>
      </c>
      <c r="AC8" s="4" t="n">
        <f aca="false">IFERROR(__xludf.dummyfunction("""COMPUTED_VALUE"""),59.45)</f>
        <v>59.45</v>
      </c>
      <c r="AD8" s="3" t="n">
        <f aca="false">IFERROR(__xludf.dummyfunction("""COMPUTED_VALUE"""),11)</f>
        <v>11</v>
      </c>
    </row>
    <row r="9" customFormat="false" ht="15.75" hidden="false" customHeight="false" outlineLevel="0" collapsed="false">
      <c r="A9" s="3" t="n">
        <f aca="false">IFERROR(__xludf.dummyfunction("""COMPUTED_VALUE"""),80)</f>
        <v>80</v>
      </c>
      <c r="B9" s="3" t="str">
        <f aca="false">IFERROR(__xludf.dummyfunction("""COMPUTED_VALUE"""),"Poppy")</f>
        <v>Poppy</v>
      </c>
      <c r="C9" s="3" t="str">
        <f aca="false">IFERROR(__xludf.dummyfunction("""COMPUTED_VALUE"""),"Winsper")</f>
        <v>Winsper</v>
      </c>
      <c r="D9" s="3" t="str">
        <f aca="false">IFERROR(__xludf.dummyfunction("""COMPUTED_VALUE"""),"BAS GC")</f>
        <v>BAS GC</v>
      </c>
      <c r="E9" s="3" t="str">
        <f aca="false">IFERROR(__xludf.dummyfunction("""COMPUTED_VALUE"""),"Grade 4")</f>
        <v>Grade 4</v>
      </c>
      <c r="F9" s="3" t="n">
        <f aca="false">IFERROR(__xludf.dummyfunction("""COMPUTED_VALUE"""),4)</f>
        <v>4</v>
      </c>
      <c r="G9" s="3"/>
      <c r="H9" s="3"/>
      <c r="I9" s="3" t="n">
        <f aca="false">IFERROR(__xludf.dummyfunction("""COMPUTED_VALUE"""),4)</f>
        <v>4</v>
      </c>
      <c r="J9" s="3"/>
      <c r="K9" s="3"/>
      <c r="L9" s="4" t="n">
        <f aca="false">IFERROR(__xludf.dummyfunction("""COMPUTED_VALUE"""),12.2)</f>
        <v>12.2</v>
      </c>
      <c r="M9" s="3" t="n">
        <f aca="false">IFERROR(__xludf.dummyfunction("""COMPUTED_VALUE"""),4)</f>
        <v>4</v>
      </c>
      <c r="N9" s="3"/>
      <c r="O9" s="3"/>
      <c r="P9" s="4" t="n">
        <f aca="false">IFERROR(__xludf.dummyfunction("""COMPUTED_VALUE"""),13.25)</f>
        <v>13.25</v>
      </c>
      <c r="Q9" s="3" t="n">
        <f aca="false">IFERROR(__xludf.dummyfunction("""COMPUTED_VALUE"""),4)</f>
        <v>4</v>
      </c>
      <c r="R9" s="3"/>
      <c r="S9" s="3"/>
      <c r="T9" s="4" t="n">
        <f aca="false">IFERROR(__xludf.dummyfunction("""COMPUTED_VALUE"""),10.3)</f>
        <v>10.3</v>
      </c>
      <c r="U9" s="3" t="n">
        <f aca="false">IFERROR(__xludf.dummyfunction("""COMPUTED_VALUE"""),4)</f>
        <v>4</v>
      </c>
      <c r="V9" s="3"/>
      <c r="W9" s="3"/>
      <c r="X9" s="4" t="n">
        <f aca="false">IFERROR(__xludf.dummyfunction("""COMPUTED_VALUE"""),11.35)</f>
        <v>11.35</v>
      </c>
      <c r="Y9" s="3" t="n">
        <f aca="false">IFERROR(__xludf.dummyfunction("""COMPUTED_VALUE"""),4)</f>
        <v>4</v>
      </c>
      <c r="Z9" s="3"/>
      <c r="AA9" s="3"/>
      <c r="AB9" s="4" t="n">
        <f aca="false">IFERROR(__xludf.dummyfunction("""COMPUTED_VALUE"""),12.4)</f>
        <v>12.4</v>
      </c>
      <c r="AC9" s="4" t="n">
        <f aca="false">IFERROR(__xludf.dummyfunction("""COMPUTED_VALUE"""),59.5)</f>
        <v>59.5</v>
      </c>
      <c r="AD9" s="3" t="n">
        <f aca="false">IFERROR(__xludf.dummyfunction("""COMPUTED_VALUE"""),8)</f>
        <v>8</v>
      </c>
    </row>
    <row r="10" customFormat="false" ht="15.75" hidden="false" customHeight="false" outlineLevel="0" collapsed="false">
      <c r="A10" s="3" t="n">
        <f aca="false">IFERROR(__xludf.dummyfunction("""COMPUTED_VALUE"""),81)</f>
        <v>81</v>
      </c>
      <c r="B10" s="3" t="str">
        <f aca="false">IFERROR(__xludf.dummyfunction("""COMPUTED_VALUE"""),"Jessica")</f>
        <v>Jessica</v>
      </c>
      <c r="C10" s="3" t="str">
        <f aca="false">IFERROR(__xludf.dummyfunction("""COMPUTED_VALUE"""),"Ley")</f>
        <v>Ley</v>
      </c>
      <c r="D10" s="3" t="str">
        <f aca="false">IFERROR(__xludf.dummyfunction("""COMPUTED_VALUE"""),"DYN SG")</f>
        <v>DYN SG</v>
      </c>
      <c r="E10" s="3" t="str">
        <f aca="false">IFERROR(__xludf.dummyfunction("""COMPUTED_VALUE"""),"Grade 4")</f>
        <v>Grade 4</v>
      </c>
      <c r="F10" s="3" t="n">
        <f aca="false">IFERROR(__xludf.dummyfunction("""COMPUTED_VALUE"""),4)</f>
        <v>4</v>
      </c>
      <c r="G10" s="3"/>
      <c r="H10" s="3"/>
      <c r="I10" s="3" t="n">
        <f aca="false">IFERROR(__xludf.dummyfunction("""COMPUTED_VALUE"""),4)</f>
        <v>4</v>
      </c>
      <c r="J10" s="3"/>
      <c r="K10" s="3"/>
      <c r="L10" s="4" t="n">
        <f aca="false">IFERROR(__xludf.dummyfunction("""COMPUTED_VALUE"""),12.3)</f>
        <v>12.3</v>
      </c>
      <c r="M10" s="3" t="n">
        <f aca="false">IFERROR(__xludf.dummyfunction("""COMPUTED_VALUE"""),4)</f>
        <v>4</v>
      </c>
      <c r="N10" s="3"/>
      <c r="O10" s="3"/>
      <c r="P10" s="4" t="n">
        <f aca="false">IFERROR(__xludf.dummyfunction("""COMPUTED_VALUE"""),12.5)</f>
        <v>12.5</v>
      </c>
      <c r="Q10" s="3" t="n">
        <f aca="false">IFERROR(__xludf.dummyfunction("""COMPUTED_VALUE"""),4)</f>
        <v>4</v>
      </c>
      <c r="R10" s="3"/>
      <c r="S10" s="3" t="n">
        <f aca="false">IFERROR(__xludf.dummyfunction("""COMPUTED_VALUE"""),0.5)</f>
        <v>0.5</v>
      </c>
      <c r="T10" s="4" t="n">
        <f aca="false">IFERROR(__xludf.dummyfunction("""COMPUTED_VALUE"""),10.1)</f>
        <v>10.1</v>
      </c>
      <c r="U10" s="3" t="n">
        <f aca="false">IFERROR(__xludf.dummyfunction("""COMPUTED_VALUE"""),4)</f>
        <v>4</v>
      </c>
      <c r="V10" s="3"/>
      <c r="W10" s="3"/>
      <c r="X10" s="4" t="n">
        <f aca="false">IFERROR(__xludf.dummyfunction("""COMPUTED_VALUE"""),10.7)</f>
        <v>10.7</v>
      </c>
      <c r="Y10" s="3" t="n">
        <f aca="false">IFERROR(__xludf.dummyfunction("""COMPUTED_VALUE"""),3.5)</f>
        <v>3.5</v>
      </c>
      <c r="Z10" s="3"/>
      <c r="AA10" s="3"/>
      <c r="AB10" s="4" t="n">
        <f aca="false">IFERROR(__xludf.dummyfunction("""COMPUTED_VALUE"""),11.25)</f>
        <v>11.25</v>
      </c>
      <c r="AC10" s="4" t="n">
        <f aca="false">IFERROR(__xludf.dummyfunction("""COMPUTED_VALUE"""),56.85)</f>
        <v>56.85</v>
      </c>
      <c r="AD10" s="3" t="n">
        <f aca="false">IFERROR(__xludf.dummyfunction("""COMPUTED_VALUE"""),15)</f>
        <v>15</v>
      </c>
    </row>
    <row r="11" customFormat="false" ht="15.75" hidden="false" customHeight="false" outlineLevel="0" collapsed="false">
      <c r="A11" s="3" t="n">
        <f aca="false">IFERROR(__xludf.dummyfunction("""COMPUTED_VALUE"""),82)</f>
        <v>82</v>
      </c>
      <c r="B11" s="3" t="str">
        <f aca="false">IFERROR(__xludf.dummyfunction("""COMPUTED_VALUE"""),"Jessica")</f>
        <v>Jessica</v>
      </c>
      <c r="C11" s="3" t="str">
        <f aca="false">IFERROR(__xludf.dummyfunction("""COMPUTED_VALUE"""),"Bailey")</f>
        <v>Bailey</v>
      </c>
      <c r="D11" s="3" t="str">
        <f aca="false">IFERROR(__xludf.dummyfunction("""COMPUTED_VALUE"""),"DYN SG")</f>
        <v>DYN SG</v>
      </c>
      <c r="E11" s="3" t="str">
        <f aca="false">IFERROR(__xludf.dummyfunction("""COMPUTED_VALUE"""),"Grade 4")</f>
        <v>Grade 4</v>
      </c>
      <c r="F11" s="3" t="n">
        <f aca="false">IFERROR(__xludf.dummyfunction("""COMPUTED_VALUE"""),4)</f>
        <v>4</v>
      </c>
      <c r="G11" s="3"/>
      <c r="H11" s="3"/>
      <c r="I11" s="3" t="n">
        <f aca="false">IFERROR(__xludf.dummyfunction("""COMPUTED_VALUE"""),4)</f>
        <v>4</v>
      </c>
      <c r="J11" s="3"/>
      <c r="K11" s="3"/>
      <c r="L11" s="4" t="n">
        <f aca="false">IFERROR(__xludf.dummyfunction("""COMPUTED_VALUE"""),12.85)</f>
        <v>12.85</v>
      </c>
      <c r="M11" s="3" t="n">
        <f aca="false">IFERROR(__xludf.dummyfunction("""COMPUTED_VALUE"""),4)</f>
        <v>4</v>
      </c>
      <c r="N11" s="3"/>
      <c r="O11" s="3"/>
      <c r="P11" s="4" t="n">
        <f aca="false">IFERROR(__xludf.dummyfunction("""COMPUTED_VALUE"""),12.6)</f>
        <v>12.6</v>
      </c>
      <c r="Q11" s="3" t="n">
        <f aca="false">IFERROR(__xludf.dummyfunction("""COMPUTED_VALUE"""),3.5)</f>
        <v>3.5</v>
      </c>
      <c r="R11" s="3"/>
      <c r="S11" s="3" t="n">
        <f aca="false">IFERROR(__xludf.dummyfunction("""COMPUTED_VALUE"""),0.5)</f>
        <v>0.5</v>
      </c>
      <c r="T11" s="4" t="n">
        <f aca="false">IFERROR(__xludf.dummyfunction("""COMPUTED_VALUE"""),9.1)</f>
        <v>9.1</v>
      </c>
      <c r="U11" s="3" t="n">
        <f aca="false">IFERROR(__xludf.dummyfunction("""COMPUTED_VALUE"""),4)</f>
        <v>4</v>
      </c>
      <c r="V11" s="3"/>
      <c r="W11" s="3"/>
      <c r="X11" s="4" t="n">
        <f aca="false">IFERROR(__xludf.dummyfunction("""COMPUTED_VALUE"""),11.45)</f>
        <v>11.45</v>
      </c>
      <c r="Y11" s="3" t="n">
        <f aca="false">IFERROR(__xludf.dummyfunction("""COMPUTED_VALUE"""),4)</f>
        <v>4</v>
      </c>
      <c r="Z11" s="3"/>
      <c r="AA11" s="3"/>
      <c r="AB11" s="4" t="n">
        <f aca="false">IFERROR(__xludf.dummyfunction("""COMPUTED_VALUE"""),13.5)</f>
        <v>13.5</v>
      </c>
      <c r="AC11" s="4" t="n">
        <f aca="false">IFERROR(__xludf.dummyfunction("""COMPUTED_VALUE"""),59.5)</f>
        <v>59.5</v>
      </c>
      <c r="AD11" s="3" t="n">
        <f aca="false">IFERROR(__xludf.dummyfunction("""COMPUTED_VALUE"""),8)</f>
        <v>8</v>
      </c>
    </row>
    <row r="12" customFormat="false" ht="15.75" hidden="false" customHeight="false" outlineLevel="0" collapsed="false">
      <c r="A12" s="3" t="n">
        <f aca="false">IFERROR(__xludf.dummyfunction("""COMPUTED_VALUE"""),83)</f>
        <v>83</v>
      </c>
      <c r="B12" s="3" t="str">
        <f aca="false">IFERROR(__xludf.dummyfunction("""COMPUTED_VALUE"""),"Ella")</f>
        <v>Ella</v>
      </c>
      <c r="C12" s="3" t="str">
        <f aca="false">IFERROR(__xludf.dummyfunction("""COMPUTED_VALUE"""),"Swete")</f>
        <v>Swete</v>
      </c>
      <c r="D12" s="3" t="str">
        <f aca="false">IFERROR(__xludf.dummyfunction("""COMPUTED_VALUE"""),"DYN SG")</f>
        <v>DYN SG</v>
      </c>
      <c r="E12" s="3" t="str">
        <f aca="false">IFERROR(__xludf.dummyfunction("""COMPUTED_VALUE"""),"Grade 4")</f>
        <v>Grade 4</v>
      </c>
      <c r="F12" s="3" t="n">
        <f aca="false">IFERROR(__xludf.dummyfunction("""COMPUTED_VALUE"""),4)</f>
        <v>4</v>
      </c>
      <c r="G12" s="3"/>
      <c r="H12" s="3"/>
      <c r="I12" s="3" t="n">
        <f aca="false">IFERROR(__xludf.dummyfunction("""COMPUTED_VALUE"""),4)</f>
        <v>4</v>
      </c>
      <c r="J12" s="3"/>
      <c r="K12" s="3"/>
      <c r="L12" s="4" t="n">
        <f aca="false">IFERROR(__xludf.dummyfunction("""COMPUTED_VALUE"""),12.35)</f>
        <v>12.35</v>
      </c>
      <c r="M12" s="3" t="n">
        <f aca="false">IFERROR(__xludf.dummyfunction("""COMPUTED_VALUE"""),4)</f>
        <v>4</v>
      </c>
      <c r="N12" s="3"/>
      <c r="O12" s="3"/>
      <c r="P12" s="4" t="n">
        <f aca="false">IFERROR(__xludf.dummyfunction("""COMPUTED_VALUE"""),11.95)</f>
        <v>11.95</v>
      </c>
      <c r="Q12" s="3" t="n">
        <f aca="false">IFERROR(__xludf.dummyfunction("""COMPUTED_VALUE"""),4)</f>
        <v>4</v>
      </c>
      <c r="R12" s="3"/>
      <c r="S12" s="3" t="n">
        <f aca="false">IFERROR(__xludf.dummyfunction("""COMPUTED_VALUE"""),0.5)</f>
        <v>0.5</v>
      </c>
      <c r="T12" s="4" t="n">
        <f aca="false">IFERROR(__xludf.dummyfunction("""COMPUTED_VALUE"""),11.8)</f>
        <v>11.8</v>
      </c>
      <c r="U12" s="3" t="n">
        <f aca="false">IFERROR(__xludf.dummyfunction("""COMPUTED_VALUE"""),4)</f>
        <v>4</v>
      </c>
      <c r="V12" s="3"/>
      <c r="W12" s="3"/>
      <c r="X12" s="4" t="n">
        <f aca="false">IFERROR(__xludf.dummyfunction("""COMPUTED_VALUE"""),11.15)</f>
        <v>11.15</v>
      </c>
      <c r="Y12" s="3" t="n">
        <f aca="false">IFERROR(__xludf.dummyfunction("""COMPUTED_VALUE"""),3.5)</f>
        <v>3.5</v>
      </c>
      <c r="Z12" s="3"/>
      <c r="AA12" s="3"/>
      <c r="AB12" s="4" t="n">
        <f aca="false">IFERROR(__xludf.dummyfunction("""COMPUTED_VALUE"""),10.35)</f>
        <v>10.35</v>
      </c>
      <c r="AC12" s="4" t="n">
        <f aca="false">IFERROR(__xludf.dummyfunction("""COMPUTED_VALUE"""),57.6)</f>
        <v>57.6</v>
      </c>
      <c r="AD12" s="3" t="n">
        <f aca="false">IFERROR(__xludf.dummyfunction("""COMPUTED_VALUE"""),13)</f>
        <v>13</v>
      </c>
    </row>
    <row r="13" customFormat="false" ht="15.75" hidden="false" customHeight="false" outlineLevel="0" collapsed="false">
      <c r="A13" s="3" t="n">
        <f aca="false">IFERROR(__xludf.dummyfunction("""COMPUTED_VALUE"""),84)</f>
        <v>84</v>
      </c>
      <c r="B13" s="3" t="str">
        <f aca="false">IFERROR(__xludf.dummyfunction("""COMPUTED_VALUE"""),"Grace")</f>
        <v>Grace</v>
      </c>
      <c r="C13" s="3" t="str">
        <f aca="false">IFERROR(__xludf.dummyfunction("""COMPUTED_VALUE"""),"Jessavala")</f>
        <v>Jessavala</v>
      </c>
      <c r="D13" s="3" t="str">
        <f aca="false">IFERROR(__xludf.dummyfunction("""COMPUTED_VALUE"""),"HART GC")</f>
        <v>HART GC</v>
      </c>
      <c r="E13" s="3" t="str">
        <f aca="false">IFERROR(__xludf.dummyfunction("""COMPUTED_VALUE"""),"Grade 4")</f>
        <v>Grade 4</v>
      </c>
      <c r="F13" s="3" t="n">
        <f aca="false">IFERROR(__xludf.dummyfunction("""COMPUTED_VALUE"""),4)</f>
        <v>4</v>
      </c>
      <c r="G13" s="3"/>
      <c r="H13" s="3"/>
      <c r="I13" s="3" t="n">
        <f aca="false">IFERROR(__xludf.dummyfunction("""COMPUTED_VALUE"""),4)</f>
        <v>4</v>
      </c>
      <c r="J13" s="3"/>
      <c r="K13" s="3"/>
      <c r="L13" s="4" t="n">
        <f aca="false">IFERROR(__xludf.dummyfunction("""COMPUTED_VALUE"""),12.4)</f>
        <v>12.4</v>
      </c>
      <c r="M13" s="3" t="n">
        <f aca="false">IFERROR(__xludf.dummyfunction("""COMPUTED_VALUE"""),3)</f>
        <v>3</v>
      </c>
      <c r="N13" s="3"/>
      <c r="O13" s="3" t="n">
        <f aca="false">IFERROR(__xludf.dummyfunction("""COMPUTED_VALUE"""),4)</f>
        <v>4</v>
      </c>
      <c r="P13" s="4" t="n">
        <f aca="false">IFERROR(__xludf.dummyfunction("""COMPUTED_VALUE"""),5.45)</f>
        <v>5.45</v>
      </c>
      <c r="Q13" s="3" t="n">
        <f aca="false">IFERROR(__xludf.dummyfunction("""COMPUTED_VALUE"""),3.5)</f>
        <v>3.5</v>
      </c>
      <c r="R13" s="3"/>
      <c r="S13" s="3"/>
      <c r="T13" s="4" t="n">
        <f aca="false">IFERROR(__xludf.dummyfunction("""COMPUTED_VALUE"""),8.6)</f>
        <v>8.6</v>
      </c>
      <c r="U13" s="3" t="n">
        <f aca="false">IFERROR(__xludf.dummyfunction("""COMPUTED_VALUE"""),4)</f>
        <v>4</v>
      </c>
      <c r="V13" s="3"/>
      <c r="W13" s="3"/>
      <c r="X13" s="4" t="n">
        <f aca="false">IFERROR(__xludf.dummyfunction("""COMPUTED_VALUE"""),9.3)</f>
        <v>9.3</v>
      </c>
      <c r="Y13" s="3" t="n">
        <f aca="false">IFERROR(__xludf.dummyfunction("""COMPUTED_VALUE"""),2.5)</f>
        <v>2.5</v>
      </c>
      <c r="Z13" s="3"/>
      <c r="AA13" s="3"/>
      <c r="AB13" s="4" t="n">
        <f aca="false">IFERROR(__xludf.dummyfunction("""COMPUTED_VALUE"""),9.65)</f>
        <v>9.65</v>
      </c>
      <c r="AC13" s="4" t="n">
        <f aca="false">IFERROR(__xludf.dummyfunction("""COMPUTED_VALUE"""),45.4)</f>
        <v>45.4</v>
      </c>
      <c r="AD13" s="3" t="n">
        <f aca="false">IFERROR(__xludf.dummyfunction("""COMPUTED_VALUE"""),30)</f>
        <v>30</v>
      </c>
    </row>
    <row r="14" customFormat="false" ht="15.75" hidden="false" customHeight="false" outlineLevel="0" collapsed="false">
      <c r="A14" s="3" t="n">
        <f aca="false">IFERROR(__xludf.dummyfunction("""COMPUTED_VALUE"""),85)</f>
        <v>85</v>
      </c>
      <c r="B14" s="3" t="str">
        <f aca="false">IFERROR(__xludf.dummyfunction("""COMPUTED_VALUE"""),"India")</f>
        <v>India</v>
      </c>
      <c r="C14" s="3" t="str">
        <f aca="false">IFERROR(__xludf.dummyfunction("""COMPUTED_VALUE"""),"Beswick")</f>
        <v>Beswick</v>
      </c>
      <c r="D14" s="3" t="str">
        <f aca="false">IFERROR(__xludf.dummyfunction("""COMPUTED_VALUE"""),"HART GC")</f>
        <v>HART GC</v>
      </c>
      <c r="E14" s="3" t="str">
        <f aca="false">IFERROR(__xludf.dummyfunction("""COMPUTED_VALUE"""),"Grade 4")</f>
        <v>Grade 4</v>
      </c>
      <c r="F14" s="3" t="n">
        <f aca="false">IFERROR(__xludf.dummyfunction("""COMPUTED_VALUE"""),4)</f>
        <v>4</v>
      </c>
      <c r="G14" s="3"/>
      <c r="H14" s="3"/>
      <c r="I14" s="3" t="n">
        <f aca="false">IFERROR(__xludf.dummyfunction("""COMPUTED_VALUE"""),4)</f>
        <v>4</v>
      </c>
      <c r="J14" s="3"/>
      <c r="K14" s="3"/>
      <c r="L14" s="4" t="n">
        <f aca="false">IFERROR(__xludf.dummyfunction("""COMPUTED_VALUE"""),12.35)</f>
        <v>12.35</v>
      </c>
      <c r="M14" s="3" t="n">
        <f aca="false">IFERROR(__xludf.dummyfunction("""COMPUTED_VALUE"""),4)</f>
        <v>4</v>
      </c>
      <c r="N14" s="3"/>
      <c r="O14" s="3"/>
      <c r="P14" s="4" t="n">
        <f aca="false">IFERROR(__xludf.dummyfunction("""COMPUTED_VALUE"""),10.7)</f>
        <v>10.7</v>
      </c>
      <c r="Q14" s="3" t="n">
        <f aca="false">IFERROR(__xludf.dummyfunction("""COMPUTED_VALUE"""),3)</f>
        <v>3</v>
      </c>
      <c r="R14" s="3"/>
      <c r="S14" s="3" t="n">
        <f aca="false">IFERROR(__xludf.dummyfunction("""COMPUTED_VALUE"""),0.5)</f>
        <v>0.5</v>
      </c>
      <c r="T14" s="4" t="n">
        <f aca="false">IFERROR(__xludf.dummyfunction("""COMPUTED_VALUE"""),7.3)</f>
        <v>7.3</v>
      </c>
      <c r="U14" s="3" t="n">
        <f aca="false">IFERROR(__xludf.dummyfunction("""COMPUTED_VALUE"""),4)</f>
        <v>4</v>
      </c>
      <c r="V14" s="3"/>
      <c r="W14" s="3"/>
      <c r="X14" s="4" t="n">
        <f aca="false">IFERROR(__xludf.dummyfunction("""COMPUTED_VALUE"""),9.9)</f>
        <v>9.9</v>
      </c>
      <c r="Y14" s="3" t="n">
        <f aca="false">IFERROR(__xludf.dummyfunction("""COMPUTED_VALUE"""),3)</f>
        <v>3</v>
      </c>
      <c r="Z14" s="3"/>
      <c r="AA14" s="3"/>
      <c r="AB14" s="4" t="n">
        <f aca="false">IFERROR(__xludf.dummyfunction("""COMPUTED_VALUE"""),10.55)</f>
        <v>10.55</v>
      </c>
      <c r="AC14" s="4" t="n">
        <f aca="false">IFERROR(__xludf.dummyfunction("""COMPUTED_VALUE"""),50.8)</f>
        <v>50.8</v>
      </c>
      <c r="AD14" s="3" t="n">
        <f aca="false">IFERROR(__xludf.dummyfunction("""COMPUTED_VALUE"""),28)</f>
        <v>28</v>
      </c>
    </row>
    <row r="15" customFormat="false" ht="15.75" hidden="false" customHeight="false" outlineLevel="0" collapsed="false">
      <c r="A15" s="3" t="n">
        <f aca="false">IFERROR(__xludf.dummyfunction("""COMPUTED_VALUE"""),86)</f>
        <v>86</v>
      </c>
      <c r="B15" s="3" t="str">
        <f aca="false">IFERROR(__xludf.dummyfunction("""COMPUTED_VALUE"""),"Fern")</f>
        <v>Fern</v>
      </c>
      <c r="C15" s="3" t="str">
        <f aca="false">IFERROR(__xludf.dummyfunction("""COMPUTED_VALUE"""),"Hopton-Rogers")</f>
        <v>Hopton-Rogers</v>
      </c>
      <c r="D15" s="3" t="str">
        <f aca="false">IFERROR(__xludf.dummyfunction("""COMPUTED_VALUE"""),"HART GC")</f>
        <v>HART GC</v>
      </c>
      <c r="E15" s="3" t="str">
        <f aca="false">IFERROR(__xludf.dummyfunction("""COMPUTED_VALUE"""),"Grade 4")</f>
        <v>Grade 4</v>
      </c>
      <c r="F15" s="3" t="n">
        <f aca="false">IFERROR(__xludf.dummyfunction("""COMPUTED_VALUE"""),4)</f>
        <v>4</v>
      </c>
      <c r="G15" s="3"/>
      <c r="H15" s="3"/>
      <c r="I15" s="3" t="n">
        <f aca="false">IFERROR(__xludf.dummyfunction("""COMPUTED_VALUE"""),4)</f>
        <v>4</v>
      </c>
      <c r="J15" s="3"/>
      <c r="K15" s="3"/>
      <c r="L15" s="4" t="n">
        <f aca="false">IFERROR(__xludf.dummyfunction("""COMPUTED_VALUE"""),12.5)</f>
        <v>12.5</v>
      </c>
      <c r="M15" s="3" t="n">
        <f aca="false">IFERROR(__xludf.dummyfunction("""COMPUTED_VALUE"""),4)</f>
        <v>4</v>
      </c>
      <c r="N15" s="3"/>
      <c r="O15" s="3"/>
      <c r="P15" s="4" t="n">
        <f aca="false">IFERROR(__xludf.dummyfunction("""COMPUTED_VALUE"""),10.6)</f>
        <v>10.6</v>
      </c>
      <c r="Q15" s="3" t="n">
        <f aca="false">IFERROR(__xludf.dummyfunction("""COMPUTED_VALUE"""),3)</f>
        <v>3</v>
      </c>
      <c r="R15" s="3"/>
      <c r="S15" s="3"/>
      <c r="T15" s="4" t="n">
        <f aca="false">IFERROR(__xludf.dummyfunction("""COMPUTED_VALUE"""),8.9)</f>
        <v>8.9</v>
      </c>
      <c r="U15" s="3" t="n">
        <f aca="false">IFERROR(__xludf.dummyfunction("""COMPUTED_VALUE"""),3.5)</f>
        <v>3.5</v>
      </c>
      <c r="V15" s="3"/>
      <c r="W15" s="3"/>
      <c r="X15" s="4" t="n">
        <f aca="false">IFERROR(__xludf.dummyfunction("""COMPUTED_VALUE"""),9.25)</f>
        <v>9.25</v>
      </c>
      <c r="Y15" s="3" t="n">
        <f aca="false">IFERROR(__xludf.dummyfunction("""COMPUTED_VALUE"""),3)</f>
        <v>3</v>
      </c>
      <c r="Z15" s="3"/>
      <c r="AA15" s="3"/>
      <c r="AB15" s="4" t="n">
        <f aca="false">IFERROR(__xludf.dummyfunction("""COMPUTED_VALUE"""),11.65)</f>
        <v>11.65</v>
      </c>
      <c r="AC15" s="4" t="n">
        <f aca="false">IFERROR(__xludf.dummyfunction("""COMPUTED_VALUE"""),52.9)</f>
        <v>52.9</v>
      </c>
      <c r="AD15" s="3" t="n">
        <f aca="false">IFERROR(__xludf.dummyfunction("""COMPUTED_VALUE"""),25)</f>
        <v>25</v>
      </c>
    </row>
    <row r="16" customFormat="false" ht="15.75" hidden="false" customHeight="false" outlineLevel="0" collapsed="false">
      <c r="A16" s="3" t="n">
        <f aca="false">IFERROR(__xludf.dummyfunction("""COMPUTED_VALUE"""),87)</f>
        <v>87</v>
      </c>
      <c r="B16" s="3" t="str">
        <f aca="false">IFERROR(__xludf.dummyfunction("""COMPUTED_VALUE"""),"Katie")</f>
        <v>Katie</v>
      </c>
      <c r="C16" s="3" t="str">
        <f aca="false">IFERROR(__xludf.dummyfunction("""COMPUTED_VALUE"""),"Sivers")</f>
        <v>Sivers</v>
      </c>
      <c r="D16" s="3" t="str">
        <f aca="false">IFERROR(__xludf.dummyfunction("""COMPUTED_VALUE"""),"HART GC")</f>
        <v>HART GC</v>
      </c>
      <c r="E16" s="3" t="str">
        <f aca="false">IFERROR(__xludf.dummyfunction("""COMPUTED_VALUE"""),"Grade 4")</f>
        <v>Grade 4</v>
      </c>
      <c r="F16" s="3" t="n">
        <f aca="false">IFERROR(__xludf.dummyfunction("""COMPUTED_VALUE"""),4)</f>
        <v>4</v>
      </c>
      <c r="G16" s="3"/>
      <c r="H16" s="3"/>
      <c r="I16" s="3" t="n">
        <f aca="false">IFERROR(__xludf.dummyfunction("""COMPUTED_VALUE"""),4)</f>
        <v>4</v>
      </c>
      <c r="J16" s="3"/>
      <c r="K16" s="3"/>
      <c r="L16" s="4" t="n">
        <f aca="false">IFERROR(__xludf.dummyfunction("""COMPUTED_VALUE"""),11.75)</f>
        <v>11.75</v>
      </c>
      <c r="M16" s="3" t="n">
        <f aca="false">IFERROR(__xludf.dummyfunction("""COMPUTED_VALUE"""),4)</f>
        <v>4</v>
      </c>
      <c r="N16" s="3"/>
      <c r="O16" s="3"/>
      <c r="P16" s="4" t="n">
        <f aca="false">IFERROR(__xludf.dummyfunction("""COMPUTED_VALUE"""),11.45)</f>
        <v>11.45</v>
      </c>
      <c r="Q16" s="3" t="n">
        <f aca="false">IFERROR(__xludf.dummyfunction("""COMPUTED_VALUE"""),3.5)</f>
        <v>3.5</v>
      </c>
      <c r="R16" s="3"/>
      <c r="S16" s="3"/>
      <c r="T16" s="4" t="n">
        <f aca="false">IFERROR(__xludf.dummyfunction("""COMPUTED_VALUE"""),8.6)</f>
        <v>8.6</v>
      </c>
      <c r="U16" s="3" t="n">
        <f aca="false">IFERROR(__xludf.dummyfunction("""COMPUTED_VALUE"""),4)</f>
        <v>4</v>
      </c>
      <c r="V16" s="3"/>
      <c r="W16" s="3"/>
      <c r="X16" s="4" t="n">
        <f aca="false">IFERROR(__xludf.dummyfunction("""COMPUTED_VALUE"""),10.3)</f>
        <v>10.3</v>
      </c>
      <c r="Y16" s="3" t="n">
        <f aca="false">IFERROR(__xludf.dummyfunction("""COMPUTED_VALUE"""),3.5)</f>
        <v>3.5</v>
      </c>
      <c r="Z16" s="3"/>
      <c r="AA16" s="3"/>
      <c r="AB16" s="4" t="n">
        <f aca="false">IFERROR(__xludf.dummyfunction("""COMPUTED_VALUE"""),10.7)</f>
        <v>10.7</v>
      </c>
      <c r="AC16" s="4" t="n">
        <f aca="false">IFERROR(__xludf.dummyfunction("""COMPUTED_VALUE"""),52.8)</f>
        <v>52.8</v>
      </c>
      <c r="AD16" s="3" t="n">
        <f aca="false">IFERROR(__xludf.dummyfunction("""COMPUTED_VALUE"""),26)</f>
        <v>26</v>
      </c>
    </row>
    <row r="17" customFormat="false" ht="15.75" hidden="false" customHeight="false" outlineLevel="0" collapsed="false">
      <c r="A17" s="3" t="n">
        <f aca="false">IFERROR(__xludf.dummyfunction("""COMPUTED_VALUE"""),88)</f>
        <v>88</v>
      </c>
      <c r="B17" s="3" t="str">
        <f aca="false">IFERROR(__xludf.dummyfunction("""COMPUTED_VALUE"""),"Ivy")</f>
        <v>Ivy</v>
      </c>
      <c r="C17" s="3" t="str">
        <f aca="false">IFERROR(__xludf.dummyfunction("""COMPUTED_VALUE"""),"Hillsden")</f>
        <v>Hillsden</v>
      </c>
      <c r="D17" s="3" t="str">
        <f aca="false">IFERROR(__xludf.dummyfunction("""COMPUTED_VALUE"""),"XCEL")</f>
        <v>XCEL</v>
      </c>
      <c r="E17" s="3" t="str">
        <f aca="false">IFERROR(__xludf.dummyfunction("""COMPUTED_VALUE"""),"Grade 4")</f>
        <v>Grade 4</v>
      </c>
      <c r="F17" s="3" t="n">
        <f aca="false">IFERROR(__xludf.dummyfunction("""COMPUTED_VALUE"""),4)</f>
        <v>4</v>
      </c>
      <c r="G17" s="3"/>
      <c r="H17" s="3"/>
      <c r="I17" s="3" t="n">
        <f aca="false">IFERROR(__xludf.dummyfunction("""COMPUTED_VALUE"""),4)</f>
        <v>4</v>
      </c>
      <c r="J17" s="3"/>
      <c r="K17" s="3"/>
      <c r="L17" s="4" t="n">
        <f aca="false">IFERROR(__xludf.dummyfunction("""COMPUTED_VALUE"""),12.25)</f>
        <v>12.25</v>
      </c>
      <c r="M17" s="3" t="n">
        <f aca="false">IFERROR(__xludf.dummyfunction("""COMPUTED_VALUE"""),4)</f>
        <v>4</v>
      </c>
      <c r="N17" s="3"/>
      <c r="O17" s="3"/>
      <c r="P17" s="4" t="n">
        <f aca="false">IFERROR(__xludf.dummyfunction("""COMPUTED_VALUE"""),10.85)</f>
        <v>10.85</v>
      </c>
      <c r="Q17" s="3" t="n">
        <f aca="false">IFERROR(__xludf.dummyfunction("""COMPUTED_VALUE"""),3.5)</f>
        <v>3.5</v>
      </c>
      <c r="R17" s="3"/>
      <c r="S17" s="3"/>
      <c r="T17" s="4" t="n">
        <f aca="false">IFERROR(__xludf.dummyfunction("""COMPUTED_VALUE"""),9.3)</f>
        <v>9.3</v>
      </c>
      <c r="U17" s="3" t="n">
        <f aca="false">IFERROR(__xludf.dummyfunction("""COMPUTED_VALUE"""),4)</f>
        <v>4</v>
      </c>
      <c r="V17" s="3"/>
      <c r="W17" s="3"/>
      <c r="X17" s="4" t="n">
        <f aca="false">IFERROR(__xludf.dummyfunction("""COMPUTED_VALUE"""),11.2)</f>
        <v>11.2</v>
      </c>
      <c r="Y17" s="3" t="n">
        <f aca="false">IFERROR(__xludf.dummyfunction("""COMPUTED_VALUE"""),3.5)</f>
        <v>3.5</v>
      </c>
      <c r="Z17" s="3"/>
      <c r="AA17" s="3"/>
      <c r="AB17" s="4" t="n">
        <f aca="false">IFERROR(__xludf.dummyfunction("""COMPUTED_VALUE"""),12.05)</f>
        <v>12.05</v>
      </c>
      <c r="AC17" s="4" t="n">
        <f aca="false">IFERROR(__xludf.dummyfunction("""COMPUTED_VALUE"""),55.65)</f>
        <v>55.65</v>
      </c>
      <c r="AD17" s="3" t="n">
        <f aca="false">IFERROR(__xludf.dummyfunction("""COMPUTED_VALUE"""),20)</f>
        <v>20</v>
      </c>
    </row>
    <row r="18" customFormat="false" ht="15.75" hidden="false" customHeight="false" outlineLevel="0" collapsed="false">
      <c r="A18" s="3" t="n">
        <f aca="false">IFERROR(__xludf.dummyfunction("""COMPUTED_VALUE"""),89)</f>
        <v>89</v>
      </c>
      <c r="B18" s="3" t="str">
        <f aca="false">IFERROR(__xludf.dummyfunction("""COMPUTED_VALUE"""),"Eva")</f>
        <v>Eva</v>
      </c>
      <c r="C18" s="3" t="str">
        <f aca="false">IFERROR(__xludf.dummyfunction("""COMPUTED_VALUE"""),"Pavey")</f>
        <v>Pavey</v>
      </c>
      <c r="D18" s="3" t="str">
        <f aca="false">IFERROR(__xludf.dummyfunction("""COMPUTED_VALUE"""),"ALTON GC")</f>
        <v>ALTON GC</v>
      </c>
      <c r="E18" s="3" t="str">
        <f aca="false">IFERROR(__xludf.dummyfunction("""COMPUTED_VALUE"""),"Grade 4")</f>
        <v>Grade 4</v>
      </c>
      <c r="F18" s="3" t="n">
        <f aca="false">IFERROR(__xludf.dummyfunction("""COMPUTED_VALUE"""),4)</f>
        <v>4</v>
      </c>
      <c r="G18" s="3"/>
      <c r="H18" s="3"/>
      <c r="I18" s="3" t="n">
        <f aca="false">IFERROR(__xludf.dummyfunction("""COMPUTED_VALUE"""),4)</f>
        <v>4</v>
      </c>
      <c r="J18" s="3"/>
      <c r="K18" s="3"/>
      <c r="L18" s="4" t="n">
        <f aca="false">IFERROR(__xludf.dummyfunction("""COMPUTED_VALUE"""),12.95)</f>
        <v>12.95</v>
      </c>
      <c r="M18" s="3" t="n">
        <f aca="false">IFERROR(__xludf.dummyfunction("""COMPUTED_VALUE"""),4)</f>
        <v>4</v>
      </c>
      <c r="N18" s="3"/>
      <c r="O18" s="3"/>
      <c r="P18" s="4" t="n">
        <f aca="false">IFERROR(__xludf.dummyfunction("""COMPUTED_VALUE"""),12.8)</f>
        <v>12.8</v>
      </c>
      <c r="Q18" s="3" t="n">
        <f aca="false">IFERROR(__xludf.dummyfunction("""COMPUTED_VALUE"""),3)</f>
        <v>3</v>
      </c>
      <c r="R18" s="3"/>
      <c r="S18" s="3" t="n">
        <f aca="false">IFERROR(__xludf.dummyfunction("""COMPUTED_VALUE"""),0.5)</f>
        <v>0.5</v>
      </c>
      <c r="T18" s="4" t="n">
        <f aca="false">IFERROR(__xludf.dummyfunction("""COMPUTED_VALUE"""),7.3)</f>
        <v>7.3</v>
      </c>
      <c r="U18" s="3" t="n">
        <f aca="false">IFERROR(__xludf.dummyfunction("""COMPUTED_VALUE"""),4)</f>
        <v>4</v>
      </c>
      <c r="V18" s="3"/>
      <c r="W18" s="3"/>
      <c r="X18" s="4" t="n">
        <f aca="false">IFERROR(__xludf.dummyfunction("""COMPUTED_VALUE"""),10.7)</f>
        <v>10.7</v>
      </c>
      <c r="Y18" s="3" t="n">
        <f aca="false">IFERROR(__xludf.dummyfunction("""COMPUTED_VALUE"""),3)</f>
        <v>3</v>
      </c>
      <c r="Z18" s="3"/>
      <c r="AA18" s="3"/>
      <c r="AB18" s="4" t="n">
        <f aca="false">IFERROR(__xludf.dummyfunction("""COMPUTED_VALUE"""),9.9)</f>
        <v>9.9</v>
      </c>
      <c r="AC18" s="4" t="n">
        <f aca="false">IFERROR(__xludf.dummyfunction("""COMPUTED_VALUE"""),53.65)</f>
        <v>53.65</v>
      </c>
      <c r="AD18" s="3" t="n">
        <f aca="false">IFERROR(__xludf.dummyfunction("""COMPUTED_VALUE"""),24)</f>
        <v>24</v>
      </c>
    </row>
    <row r="19" customFormat="false" ht="15.75" hidden="false" customHeight="false" outlineLevel="0" collapsed="false">
      <c r="A19" s="3" t="n">
        <f aca="false">IFERROR(__xludf.dummyfunction("""COMPUTED_VALUE"""),90)</f>
        <v>90</v>
      </c>
      <c r="B19" s="3" t="str">
        <f aca="false">IFERROR(__xludf.dummyfunction("""COMPUTED_VALUE"""),"Matilda")</f>
        <v>Matilda</v>
      </c>
      <c r="C19" s="3" t="str">
        <f aca="false">IFERROR(__xludf.dummyfunction("""COMPUTED_VALUE"""),"Dames")</f>
        <v>Dames</v>
      </c>
      <c r="D19" s="3" t="str">
        <f aca="false">IFERROR(__xludf.dummyfunction("""COMPUTED_VALUE"""),"ALTON GC")</f>
        <v>ALTON GC</v>
      </c>
      <c r="E19" s="3" t="str">
        <f aca="false">IFERROR(__xludf.dummyfunction("""COMPUTED_VALUE"""),"Grade 4")</f>
        <v>Grade 4</v>
      </c>
      <c r="F19" s="3" t="n">
        <f aca="false">IFERROR(__xludf.dummyfunction("""COMPUTED_VALUE"""),4)</f>
        <v>4</v>
      </c>
      <c r="G19" s="3"/>
      <c r="H19" s="3"/>
      <c r="I19" s="3" t="n">
        <f aca="false">IFERROR(__xludf.dummyfunction("""COMPUTED_VALUE"""),4)</f>
        <v>4</v>
      </c>
      <c r="J19" s="3"/>
      <c r="K19" s="3"/>
      <c r="L19" s="4" t="n">
        <f aca="false">IFERROR(__xludf.dummyfunction("""COMPUTED_VALUE"""),11.75)</f>
        <v>11.75</v>
      </c>
      <c r="M19" s="3" t="n">
        <f aca="false">IFERROR(__xludf.dummyfunction("""COMPUTED_VALUE"""),4)</f>
        <v>4</v>
      </c>
      <c r="N19" s="3"/>
      <c r="O19" s="3"/>
      <c r="P19" s="4" t="n">
        <f aca="false">IFERROR(__xludf.dummyfunction("""COMPUTED_VALUE"""),12.15)</f>
        <v>12.15</v>
      </c>
      <c r="Q19" s="3" t="n">
        <f aca="false">IFERROR(__xludf.dummyfunction("""COMPUTED_VALUE"""),3)</f>
        <v>3</v>
      </c>
      <c r="R19" s="3"/>
      <c r="S19" s="3" t="n">
        <f aca="false">IFERROR(__xludf.dummyfunction("""COMPUTED_VALUE"""),0.5)</f>
        <v>0.5</v>
      </c>
      <c r="T19" s="4" t="n">
        <f aca="false">IFERROR(__xludf.dummyfunction("""COMPUTED_VALUE"""),8.5)</f>
        <v>8.5</v>
      </c>
      <c r="U19" s="3" t="n">
        <f aca="false">IFERROR(__xludf.dummyfunction("""COMPUTED_VALUE"""),4)</f>
        <v>4</v>
      </c>
      <c r="V19" s="3"/>
      <c r="W19" s="3"/>
      <c r="X19" s="4" t="n">
        <f aca="false">IFERROR(__xludf.dummyfunction("""COMPUTED_VALUE"""),10.75)</f>
        <v>10.75</v>
      </c>
      <c r="Y19" s="3" t="n">
        <f aca="false">IFERROR(__xludf.dummyfunction("""COMPUTED_VALUE"""),3.5)</f>
        <v>3.5</v>
      </c>
      <c r="Z19" s="3"/>
      <c r="AA19" s="3"/>
      <c r="AB19" s="4" t="n">
        <f aca="false">IFERROR(__xludf.dummyfunction("""COMPUTED_VALUE"""),11.9)</f>
        <v>11.9</v>
      </c>
      <c r="AC19" s="4" t="n">
        <f aca="false">IFERROR(__xludf.dummyfunction("""COMPUTED_VALUE"""),55.05)</f>
        <v>55.05</v>
      </c>
      <c r="AD19" s="3" t="n">
        <f aca="false">IFERROR(__xludf.dummyfunction("""COMPUTED_VALUE"""),23)</f>
        <v>23</v>
      </c>
    </row>
    <row r="20" customFormat="false" ht="15.75" hidden="false" customHeight="false" outlineLevel="0" collapsed="false">
      <c r="A20" s="3" t="n">
        <f aca="false">IFERROR(__xludf.dummyfunction("""COMPUTED_VALUE"""),91)</f>
        <v>91</v>
      </c>
      <c r="B20" s="3" t="str">
        <f aca="false">IFERROR(__xludf.dummyfunction("""COMPUTED_VALUE"""),"Annie")</f>
        <v>Annie</v>
      </c>
      <c r="C20" s="3" t="str">
        <f aca="false">IFERROR(__xludf.dummyfunction("""COMPUTED_VALUE"""),"Ince")</f>
        <v>Ince</v>
      </c>
      <c r="D20" s="3" t="str">
        <f aca="false">IFERROR(__xludf.dummyfunction("""COMPUTED_VALUE"""),"ALTON GC")</f>
        <v>ALTON GC</v>
      </c>
      <c r="E20" s="3" t="str">
        <f aca="false">IFERROR(__xludf.dummyfunction("""COMPUTED_VALUE"""),"Grade 4")</f>
        <v>Grade 4</v>
      </c>
      <c r="F20" s="3" t="n">
        <f aca="false">IFERROR(__xludf.dummyfunction("""COMPUTED_VALUE"""),4)</f>
        <v>4</v>
      </c>
      <c r="G20" s="3"/>
      <c r="H20" s="3"/>
      <c r="I20" s="3" t="n">
        <f aca="false">IFERROR(__xludf.dummyfunction("""COMPUTED_VALUE"""),4)</f>
        <v>4</v>
      </c>
      <c r="J20" s="3"/>
      <c r="K20" s="3"/>
      <c r="L20" s="4" t="n">
        <f aca="false">IFERROR(__xludf.dummyfunction("""COMPUTED_VALUE"""),12.3)</f>
        <v>12.3</v>
      </c>
      <c r="M20" s="3" t="n">
        <f aca="false">IFERROR(__xludf.dummyfunction("""COMPUTED_VALUE"""),4)</f>
        <v>4</v>
      </c>
      <c r="N20" s="3"/>
      <c r="O20" s="3"/>
      <c r="P20" s="4" t="n">
        <f aca="false">IFERROR(__xludf.dummyfunction("""COMPUTED_VALUE"""),12.45)</f>
        <v>12.45</v>
      </c>
      <c r="Q20" s="3" t="n">
        <f aca="false">IFERROR(__xludf.dummyfunction("""COMPUTED_VALUE"""),3.5)</f>
        <v>3.5</v>
      </c>
      <c r="R20" s="3"/>
      <c r="S20" s="3" t="n">
        <f aca="false">IFERROR(__xludf.dummyfunction("""COMPUTED_VALUE"""),0.5)</f>
        <v>0.5</v>
      </c>
      <c r="T20" s="4" t="n">
        <f aca="false">IFERROR(__xludf.dummyfunction("""COMPUTED_VALUE"""),8.4)</f>
        <v>8.4</v>
      </c>
      <c r="U20" s="3" t="n">
        <f aca="false">IFERROR(__xludf.dummyfunction("""COMPUTED_VALUE"""),4)</f>
        <v>4</v>
      </c>
      <c r="V20" s="3"/>
      <c r="W20" s="3"/>
      <c r="X20" s="4" t="n">
        <f aca="false">IFERROR(__xludf.dummyfunction("""COMPUTED_VALUE"""),10.6)</f>
        <v>10.6</v>
      </c>
      <c r="Y20" s="3" t="n">
        <f aca="false">IFERROR(__xludf.dummyfunction("""COMPUTED_VALUE"""),3.5)</f>
        <v>3.5</v>
      </c>
      <c r="Z20" s="3"/>
      <c r="AA20" s="3"/>
      <c r="AB20" s="4" t="n">
        <f aca="false">IFERROR(__xludf.dummyfunction("""COMPUTED_VALUE"""),12.35)</f>
        <v>12.35</v>
      </c>
      <c r="AC20" s="4" t="n">
        <f aca="false">IFERROR(__xludf.dummyfunction("""COMPUTED_VALUE"""),56.1)</f>
        <v>56.1</v>
      </c>
      <c r="AD20" s="3" t="n">
        <f aca="false">IFERROR(__xludf.dummyfunction("""COMPUTED_VALUE"""),19)</f>
        <v>19</v>
      </c>
    </row>
    <row r="21" customFormat="false" ht="15.75" hidden="false" customHeight="false" outlineLevel="0" collapsed="false">
      <c r="A21" s="3" t="n">
        <f aca="false">IFERROR(__xludf.dummyfunction("""COMPUTED_VALUE"""),92)</f>
        <v>92</v>
      </c>
      <c r="B21" s="3" t="str">
        <f aca="false">IFERROR(__xludf.dummyfunction("""COMPUTED_VALUE"""),"Willa")</f>
        <v>Willa</v>
      </c>
      <c r="C21" s="3" t="str">
        <f aca="false">IFERROR(__xludf.dummyfunction("""COMPUTED_VALUE"""),"Calvert")</f>
        <v>Calvert</v>
      </c>
      <c r="D21" s="3" t="str">
        <f aca="false">IFERROR(__xludf.dummyfunction("""COMPUTED_VALUE"""),"FOX GC")</f>
        <v>FOX GC</v>
      </c>
      <c r="E21" s="3" t="str">
        <f aca="false">IFERROR(__xludf.dummyfunction("""COMPUTED_VALUE"""),"Grade 4")</f>
        <v>Grade 4</v>
      </c>
      <c r="F21" s="3" t="n">
        <f aca="false">IFERROR(__xludf.dummyfunction("""COMPUTED_VALUE"""),4)</f>
        <v>4</v>
      </c>
      <c r="G21" s="3"/>
      <c r="H21" s="3"/>
      <c r="I21" s="3" t="n">
        <f aca="false">IFERROR(__xludf.dummyfunction("""COMPUTED_VALUE"""),4)</f>
        <v>4</v>
      </c>
      <c r="J21" s="3"/>
      <c r="K21" s="3"/>
      <c r="L21" s="4" t="n">
        <f aca="false">IFERROR(__xludf.dummyfunction("""COMPUTED_VALUE"""),12.6)</f>
        <v>12.6</v>
      </c>
      <c r="M21" s="3" t="n">
        <f aca="false">IFERROR(__xludf.dummyfunction("""COMPUTED_VALUE"""),4)</f>
        <v>4</v>
      </c>
      <c r="N21" s="3"/>
      <c r="O21" s="3"/>
      <c r="P21" s="4" t="n">
        <f aca="false">IFERROR(__xludf.dummyfunction("""COMPUTED_VALUE"""),11.15)</f>
        <v>11.15</v>
      </c>
      <c r="Q21" s="3" t="n">
        <f aca="false">IFERROR(__xludf.dummyfunction("""COMPUTED_VALUE"""),4)</f>
        <v>4</v>
      </c>
      <c r="R21" s="3"/>
      <c r="S21" s="3"/>
      <c r="T21" s="4" t="n">
        <f aca="false">IFERROR(__xludf.dummyfunction("""COMPUTED_VALUE"""),9.4)</f>
        <v>9.4</v>
      </c>
      <c r="U21" s="3" t="n">
        <f aca="false">IFERROR(__xludf.dummyfunction("""COMPUTED_VALUE"""),4)</f>
        <v>4</v>
      </c>
      <c r="V21" s="3"/>
      <c r="W21" s="3"/>
      <c r="X21" s="4" t="n">
        <f aca="false">IFERROR(__xludf.dummyfunction("""COMPUTED_VALUE"""),10.25)</f>
        <v>10.25</v>
      </c>
      <c r="Y21" s="3" t="n">
        <f aca="false">IFERROR(__xludf.dummyfunction("""COMPUTED_VALUE"""),3.5)</f>
        <v>3.5</v>
      </c>
      <c r="Z21" s="3"/>
      <c r="AA21" s="3"/>
      <c r="AB21" s="4" t="n">
        <f aca="false">IFERROR(__xludf.dummyfunction("""COMPUTED_VALUE"""),12.25)</f>
        <v>12.25</v>
      </c>
      <c r="AC21" s="4" t="n">
        <f aca="false">IFERROR(__xludf.dummyfunction("""COMPUTED_VALUE"""),55.65)</f>
        <v>55.65</v>
      </c>
      <c r="AD21" s="3" t="n">
        <f aca="false">IFERROR(__xludf.dummyfunction("""COMPUTED_VALUE"""),21)</f>
        <v>21</v>
      </c>
    </row>
    <row r="22" customFormat="false" ht="15.75" hidden="false" customHeight="false" outlineLevel="0" collapsed="false">
      <c r="A22" s="3" t="n">
        <f aca="false">IFERROR(__xludf.dummyfunction("""COMPUTED_VALUE"""),93)</f>
        <v>93</v>
      </c>
      <c r="B22" s="3" t="str">
        <f aca="false">IFERROR(__xludf.dummyfunction("""COMPUTED_VALUE"""),"Sophia")</f>
        <v>Sophia</v>
      </c>
      <c r="C22" s="3" t="str">
        <f aca="false">IFERROR(__xludf.dummyfunction("""COMPUTED_VALUE"""),"Gardener")</f>
        <v>Gardener</v>
      </c>
      <c r="D22" s="3" t="str">
        <f aca="false">IFERROR(__xludf.dummyfunction("""COMPUTED_VALUE"""),"FOX GC")</f>
        <v>FOX GC</v>
      </c>
      <c r="E22" s="3" t="str">
        <f aca="false">IFERROR(__xludf.dummyfunction("""COMPUTED_VALUE"""),"Grade 4")</f>
        <v>Grade 4</v>
      </c>
      <c r="F22" s="3" t="n">
        <f aca="false">IFERROR(__xludf.dummyfunction("""COMPUTED_VALUE"""),4)</f>
        <v>4</v>
      </c>
      <c r="G22" s="3"/>
      <c r="H22" s="3"/>
      <c r="I22" s="3" t="n">
        <f aca="false">IFERROR(__xludf.dummyfunction("""COMPUTED_VALUE"""),4)</f>
        <v>4</v>
      </c>
      <c r="J22" s="3"/>
      <c r="K22" s="3"/>
      <c r="L22" s="4" t="n">
        <f aca="false">IFERROR(__xludf.dummyfunction("""COMPUTED_VALUE"""),11.95)</f>
        <v>11.95</v>
      </c>
      <c r="M22" s="3" t="n">
        <f aca="false">IFERROR(__xludf.dummyfunction("""COMPUTED_VALUE"""),3.5)</f>
        <v>3.5</v>
      </c>
      <c r="N22" s="3"/>
      <c r="O22" s="3"/>
      <c r="P22" s="4" t="n">
        <f aca="false">IFERROR(__xludf.dummyfunction("""COMPUTED_VALUE"""),9.45)</f>
        <v>9.45</v>
      </c>
      <c r="Q22" s="3" t="n">
        <f aca="false">IFERROR(__xludf.dummyfunction("""COMPUTED_VALUE"""),4)</f>
        <v>4</v>
      </c>
      <c r="R22" s="3"/>
      <c r="S22" s="3"/>
      <c r="T22" s="4" t="n">
        <f aca="false">IFERROR(__xludf.dummyfunction("""COMPUTED_VALUE"""),9.8)</f>
        <v>9.8</v>
      </c>
      <c r="U22" s="3" t="n">
        <f aca="false">IFERROR(__xludf.dummyfunction("""COMPUTED_VALUE"""),4)</f>
        <v>4</v>
      </c>
      <c r="V22" s="3"/>
      <c r="W22" s="3"/>
      <c r="X22" s="4" t="n">
        <f aca="false">IFERROR(__xludf.dummyfunction("""COMPUTED_VALUE"""),9.5)</f>
        <v>9.5</v>
      </c>
      <c r="Y22" s="3" t="n">
        <f aca="false">IFERROR(__xludf.dummyfunction("""COMPUTED_VALUE"""),3)</f>
        <v>3</v>
      </c>
      <c r="Z22" s="3"/>
      <c r="AA22" s="3"/>
      <c r="AB22" s="4" t="n">
        <f aca="false">IFERROR(__xludf.dummyfunction("""COMPUTED_VALUE"""),10.95)</f>
        <v>10.95</v>
      </c>
      <c r="AC22" s="4" t="n">
        <f aca="false">IFERROR(__xludf.dummyfunction("""COMPUTED_VALUE"""),51.65)</f>
        <v>51.65</v>
      </c>
      <c r="AD22" s="3" t="n">
        <f aca="false">IFERROR(__xludf.dummyfunction("""COMPUTED_VALUE"""),27)</f>
        <v>27</v>
      </c>
    </row>
    <row r="23" customFormat="false" ht="15.75" hidden="false" customHeight="false" outlineLevel="0" collapsed="false">
      <c r="A23" s="3" t="n">
        <f aca="false">IFERROR(__xludf.dummyfunction("""COMPUTED_VALUE"""),94)</f>
        <v>94</v>
      </c>
      <c r="B23" s="3" t="str">
        <f aca="false">IFERROR(__xludf.dummyfunction("""COMPUTED_VALUE"""),"Lauren")</f>
        <v>Lauren</v>
      </c>
      <c r="C23" s="3" t="str">
        <f aca="false">IFERROR(__xludf.dummyfunction("""COMPUTED_VALUE"""),"Griggs")</f>
        <v>Griggs</v>
      </c>
      <c r="D23" s="3" t="str">
        <f aca="false">IFERROR(__xludf.dummyfunction("""COMPUTED_VALUE"""),"WAT GC")</f>
        <v>WAT GC</v>
      </c>
      <c r="E23" s="3" t="str">
        <f aca="false">IFERROR(__xludf.dummyfunction("""COMPUTED_VALUE"""),"Grade 4")</f>
        <v>Grade 4</v>
      </c>
      <c r="F23" s="3" t="n">
        <f aca="false">IFERROR(__xludf.dummyfunction("""COMPUTED_VALUE"""),4)</f>
        <v>4</v>
      </c>
      <c r="G23" s="3"/>
      <c r="H23" s="3"/>
      <c r="I23" s="3" t="n">
        <f aca="false">IFERROR(__xludf.dummyfunction("""COMPUTED_VALUE"""),4)</f>
        <v>4</v>
      </c>
      <c r="J23" s="3"/>
      <c r="K23" s="3"/>
      <c r="L23" s="4" t="n">
        <f aca="false">IFERROR(__xludf.dummyfunction("""COMPUTED_VALUE"""),11.55)</f>
        <v>11.55</v>
      </c>
      <c r="M23" s="3" t="n">
        <f aca="false">IFERROR(__xludf.dummyfunction("""COMPUTED_VALUE"""),4)</f>
        <v>4</v>
      </c>
      <c r="N23" s="3"/>
      <c r="O23" s="3"/>
      <c r="P23" s="4" t="n">
        <f aca="false">IFERROR(__xludf.dummyfunction("""COMPUTED_VALUE"""),12.05)</f>
        <v>12.05</v>
      </c>
      <c r="Q23" s="3" t="n">
        <f aca="false">IFERROR(__xludf.dummyfunction("""COMPUTED_VALUE"""),4)</f>
        <v>4</v>
      </c>
      <c r="R23" s="3"/>
      <c r="S23" s="3"/>
      <c r="T23" s="4" t="n">
        <f aca="false">IFERROR(__xludf.dummyfunction("""COMPUTED_VALUE"""),10.4)</f>
        <v>10.4</v>
      </c>
      <c r="U23" s="3" t="n">
        <f aca="false">IFERROR(__xludf.dummyfunction("""COMPUTED_VALUE"""),4)</f>
        <v>4</v>
      </c>
      <c r="V23" s="3"/>
      <c r="W23" s="3"/>
      <c r="X23" s="4" t="n">
        <f aca="false">IFERROR(__xludf.dummyfunction("""COMPUTED_VALUE"""),10.65)</f>
        <v>10.65</v>
      </c>
      <c r="Y23" s="3" t="n">
        <f aca="false">IFERROR(__xludf.dummyfunction("""COMPUTED_VALUE"""),3)</f>
        <v>3</v>
      </c>
      <c r="Z23" s="3"/>
      <c r="AA23" s="3"/>
      <c r="AB23" s="4" t="n">
        <f aca="false">IFERROR(__xludf.dummyfunction("""COMPUTED_VALUE"""),3)</f>
        <v>3</v>
      </c>
      <c r="AC23" s="4" t="n">
        <f aca="false">IFERROR(__xludf.dummyfunction("""COMPUTED_VALUE"""),47.65)</f>
        <v>47.65</v>
      </c>
      <c r="AD23" s="3" t="n">
        <f aca="false">IFERROR(__xludf.dummyfunction("""COMPUTED_VALUE"""),29)</f>
        <v>29</v>
      </c>
    </row>
    <row r="24" customFormat="false" ht="15.75" hidden="false" customHeight="false" outlineLevel="0" collapsed="false">
      <c r="A24" s="3" t="n">
        <f aca="false">IFERROR(__xludf.dummyfunction("""COMPUTED_VALUE"""),95)</f>
        <v>95</v>
      </c>
      <c r="B24" s="3" t="str">
        <f aca="false">IFERROR(__xludf.dummyfunction("""COMPUTED_VALUE"""),"Isla")</f>
        <v>Isla</v>
      </c>
      <c r="C24" s="3" t="str">
        <f aca="false">IFERROR(__xludf.dummyfunction("""COMPUTED_VALUE"""),"Burrow")</f>
        <v>Burrow</v>
      </c>
      <c r="D24" s="3" t="str">
        <f aca="false">IFERROR(__xludf.dummyfunction("""COMPUTED_VALUE"""),"WAT GC")</f>
        <v>WAT GC</v>
      </c>
      <c r="E24" s="3" t="str">
        <f aca="false">IFERROR(__xludf.dummyfunction("""COMPUTED_VALUE"""),"Grade 4")</f>
        <v>Grade 4</v>
      </c>
      <c r="F24" s="3" t="n">
        <f aca="false">IFERROR(__xludf.dummyfunction("""COMPUTED_VALUE"""),4)</f>
        <v>4</v>
      </c>
      <c r="G24" s="3"/>
      <c r="H24" s="3"/>
      <c r="I24" s="3" t="n">
        <f aca="false">IFERROR(__xludf.dummyfunction("""COMPUTED_VALUE"""),4)</f>
        <v>4</v>
      </c>
      <c r="J24" s="3"/>
      <c r="K24" s="3"/>
      <c r="L24" s="4" t="n">
        <f aca="false">IFERROR(__xludf.dummyfunction("""COMPUTED_VALUE"""),12.2)</f>
        <v>12.2</v>
      </c>
      <c r="M24" s="3" t="n">
        <f aca="false">IFERROR(__xludf.dummyfunction("""COMPUTED_VALUE"""),4)</f>
        <v>4</v>
      </c>
      <c r="N24" s="3"/>
      <c r="O24" s="3"/>
      <c r="P24" s="4" t="n">
        <f aca="false">IFERROR(__xludf.dummyfunction("""COMPUTED_VALUE"""),12.6)</f>
        <v>12.6</v>
      </c>
      <c r="Q24" s="3" t="n">
        <f aca="false">IFERROR(__xludf.dummyfunction("""COMPUTED_VALUE"""),4)</f>
        <v>4</v>
      </c>
      <c r="R24" s="3"/>
      <c r="S24" s="3"/>
      <c r="T24" s="4" t="n">
        <f aca="false">IFERROR(__xludf.dummyfunction("""COMPUTED_VALUE"""),11.7)</f>
        <v>11.7</v>
      </c>
      <c r="U24" s="3" t="n">
        <f aca="false">IFERROR(__xludf.dummyfunction("""COMPUTED_VALUE"""),4)</f>
        <v>4</v>
      </c>
      <c r="V24" s="3"/>
      <c r="W24" s="3"/>
      <c r="X24" s="4" t="n">
        <f aca="false">IFERROR(__xludf.dummyfunction("""COMPUTED_VALUE"""),10.9)</f>
        <v>10.9</v>
      </c>
      <c r="Y24" s="3" t="n">
        <f aca="false">IFERROR(__xludf.dummyfunction("""COMPUTED_VALUE"""),3.5)</f>
        <v>3.5</v>
      </c>
      <c r="Z24" s="3"/>
      <c r="AA24" s="3"/>
      <c r="AB24" s="4" t="n">
        <f aca="false">IFERROR(__xludf.dummyfunction("""COMPUTED_VALUE"""),12.3)</f>
        <v>12.3</v>
      </c>
      <c r="AC24" s="4" t="n">
        <f aca="false">IFERROR(__xludf.dummyfunction("""COMPUTED_VALUE"""),59.7)</f>
        <v>59.7</v>
      </c>
      <c r="AD24" s="3" t="n">
        <f aca="false">IFERROR(__xludf.dummyfunction("""COMPUTED_VALUE"""),7)</f>
        <v>7</v>
      </c>
    </row>
    <row r="25" customFormat="false" ht="15.75" hidden="false" customHeight="false" outlineLevel="0" collapsed="false">
      <c r="A25" s="3" t="n">
        <f aca="false">IFERROR(__xludf.dummyfunction("""COMPUTED_VALUE"""),96)</f>
        <v>96</v>
      </c>
      <c r="B25" s="3" t="str">
        <f aca="false">IFERROR(__xludf.dummyfunction("""COMPUTED_VALUE"""),"Bella")</f>
        <v>Bella</v>
      </c>
      <c r="C25" s="3" t="str">
        <f aca="false">IFERROR(__xludf.dummyfunction("""COMPUTED_VALUE"""),"King")</f>
        <v>King</v>
      </c>
      <c r="D25" s="3" t="str">
        <f aca="false">IFERROR(__xludf.dummyfunction("""COMPUTED_VALUE"""),"WAT GC")</f>
        <v>WAT GC</v>
      </c>
      <c r="E25" s="3" t="str">
        <f aca="false">IFERROR(__xludf.dummyfunction("""COMPUTED_VALUE"""),"Grade 4")</f>
        <v>Grade 4</v>
      </c>
      <c r="F25" s="3" t="n">
        <f aca="false">IFERROR(__xludf.dummyfunction("""COMPUTED_VALUE"""),4)</f>
        <v>4</v>
      </c>
      <c r="G25" s="3"/>
      <c r="H25" s="3"/>
      <c r="I25" s="3" t="n">
        <f aca="false">IFERROR(__xludf.dummyfunction("""COMPUTED_VALUE"""),4)</f>
        <v>4</v>
      </c>
      <c r="J25" s="3"/>
      <c r="K25" s="3"/>
      <c r="L25" s="4" t="n">
        <f aca="false">IFERROR(__xludf.dummyfunction("""COMPUTED_VALUE"""),12.65)</f>
        <v>12.65</v>
      </c>
      <c r="M25" s="3" t="n">
        <f aca="false">IFERROR(__xludf.dummyfunction("""COMPUTED_VALUE"""),4)</f>
        <v>4</v>
      </c>
      <c r="N25" s="3"/>
      <c r="O25" s="3"/>
      <c r="P25" s="4" t="n">
        <f aca="false">IFERROR(__xludf.dummyfunction("""COMPUTED_VALUE"""),12)</f>
        <v>12</v>
      </c>
      <c r="Q25" s="3" t="n">
        <f aca="false">IFERROR(__xludf.dummyfunction("""COMPUTED_VALUE"""),4)</f>
        <v>4</v>
      </c>
      <c r="R25" s="3"/>
      <c r="S25" s="3" t="n">
        <f aca="false">IFERROR(__xludf.dummyfunction("""COMPUTED_VALUE"""),0.5)</f>
        <v>0.5</v>
      </c>
      <c r="T25" s="4" t="n">
        <f aca="false">IFERROR(__xludf.dummyfunction("""COMPUTED_VALUE"""),8.9)</f>
        <v>8.9</v>
      </c>
      <c r="U25" s="3" t="n">
        <f aca="false">IFERROR(__xludf.dummyfunction("""COMPUTED_VALUE"""),4)</f>
        <v>4</v>
      </c>
      <c r="V25" s="3"/>
      <c r="W25" s="3"/>
      <c r="X25" s="4" t="n">
        <f aca="false">IFERROR(__xludf.dummyfunction("""COMPUTED_VALUE"""),10.05)</f>
        <v>10.05</v>
      </c>
      <c r="Y25" s="3" t="n">
        <f aca="false">IFERROR(__xludf.dummyfunction("""COMPUTED_VALUE"""),3.5)</f>
        <v>3.5</v>
      </c>
      <c r="Z25" s="3"/>
      <c r="AA25" s="3"/>
      <c r="AB25" s="4" t="n">
        <f aca="false">IFERROR(__xludf.dummyfunction("""COMPUTED_VALUE"""),11.6)</f>
        <v>11.6</v>
      </c>
      <c r="AC25" s="4" t="n">
        <f aca="false">IFERROR(__xludf.dummyfunction("""COMPUTED_VALUE"""),55.2)</f>
        <v>55.2</v>
      </c>
      <c r="AD25" s="3" t="n">
        <f aca="false">IFERROR(__xludf.dummyfunction("""COMPUTED_VALUE"""),22)</f>
        <v>22</v>
      </c>
    </row>
    <row r="26" customFormat="false" ht="15.75" hidden="false" customHeight="false" outlineLevel="0" collapsed="false">
      <c r="A26" s="3" t="n">
        <f aca="false">IFERROR(__xludf.dummyfunction("""COMPUTED_VALUE"""),97)</f>
        <v>97</v>
      </c>
      <c r="B26" s="3" t="str">
        <f aca="false">IFERROR(__xludf.dummyfunction("""COMPUTED_VALUE"""),"Beaudi")</f>
        <v>Beaudi</v>
      </c>
      <c r="C26" s="3" t="str">
        <f aca="false">IFERROR(__xludf.dummyfunction("""COMPUTED_VALUE"""),"Mcdonald")</f>
        <v>Mcdonald</v>
      </c>
      <c r="D26" s="3" t="str">
        <f aca="false">IFERROR(__xludf.dummyfunction("""COMPUTED_VALUE"""),"LEGA")</f>
        <v>LEGA</v>
      </c>
      <c r="E26" s="3" t="str">
        <f aca="false">IFERROR(__xludf.dummyfunction("""COMPUTED_VALUE"""),"Grade 4")</f>
        <v>Grade 4</v>
      </c>
      <c r="F26" s="3" t="n">
        <f aca="false">IFERROR(__xludf.dummyfunction("""COMPUTED_VALUE"""),4)</f>
        <v>4</v>
      </c>
      <c r="G26" s="3"/>
      <c r="H26" s="3"/>
      <c r="I26" s="3" t="n">
        <f aca="false">IFERROR(__xludf.dummyfunction("""COMPUTED_VALUE"""),4)</f>
        <v>4</v>
      </c>
      <c r="J26" s="3"/>
      <c r="K26" s="3"/>
      <c r="L26" s="4" t="n">
        <f aca="false">IFERROR(__xludf.dummyfunction("""COMPUTED_VALUE"""),12.35)</f>
        <v>12.35</v>
      </c>
      <c r="M26" s="3" t="n">
        <f aca="false">IFERROR(__xludf.dummyfunction("""COMPUTED_VALUE"""),4)</f>
        <v>4</v>
      </c>
      <c r="N26" s="3"/>
      <c r="O26" s="3"/>
      <c r="P26" s="4" t="n">
        <f aca="false">IFERROR(__xludf.dummyfunction("""COMPUTED_VALUE"""),13.1)</f>
        <v>13.1</v>
      </c>
      <c r="Q26" s="3" t="n">
        <f aca="false">IFERROR(__xludf.dummyfunction("""COMPUTED_VALUE"""),4)</f>
        <v>4</v>
      </c>
      <c r="R26" s="3"/>
      <c r="S26" s="3"/>
      <c r="T26" s="4" t="n">
        <f aca="false">IFERROR(__xludf.dummyfunction("""COMPUTED_VALUE"""),11.5)</f>
        <v>11.5</v>
      </c>
      <c r="U26" s="3" t="n">
        <f aca="false">IFERROR(__xludf.dummyfunction("""COMPUTED_VALUE"""),4)</f>
        <v>4</v>
      </c>
      <c r="V26" s="3"/>
      <c r="W26" s="3"/>
      <c r="X26" s="4" t="n">
        <f aca="false">IFERROR(__xludf.dummyfunction("""COMPUTED_VALUE"""),10.6)</f>
        <v>10.6</v>
      </c>
      <c r="Y26" s="3" t="n">
        <f aca="false">IFERROR(__xludf.dummyfunction("""COMPUTED_VALUE"""),3.5)</f>
        <v>3.5</v>
      </c>
      <c r="Z26" s="3"/>
      <c r="AA26" s="3"/>
      <c r="AB26" s="4" t="n">
        <f aca="false">IFERROR(__xludf.dummyfunction("""COMPUTED_VALUE"""),11.95)</f>
        <v>11.95</v>
      </c>
      <c r="AC26" s="4" t="n">
        <f aca="false">IFERROR(__xludf.dummyfunction("""COMPUTED_VALUE"""),59.5)</f>
        <v>59.5</v>
      </c>
      <c r="AD26" s="3" t="n">
        <f aca="false">IFERROR(__xludf.dummyfunction("""COMPUTED_VALUE"""),8)</f>
        <v>8</v>
      </c>
    </row>
    <row r="27" customFormat="false" ht="15.75" hidden="false" customHeight="false" outlineLevel="0" collapsed="false">
      <c r="A27" s="3" t="n">
        <f aca="false">IFERROR(__xludf.dummyfunction("""COMPUTED_VALUE"""),98)</f>
        <v>98</v>
      </c>
      <c r="B27" s="3" t="str">
        <f aca="false">IFERROR(__xludf.dummyfunction("""COMPUTED_VALUE"""),"Skye")</f>
        <v>Skye</v>
      </c>
      <c r="C27" s="3" t="str">
        <f aca="false">IFERROR(__xludf.dummyfunction("""COMPUTED_VALUE"""),"Couse")</f>
        <v>Couse</v>
      </c>
      <c r="D27" s="3" t="str">
        <f aca="false">IFERROR(__xludf.dummyfunction("""COMPUTED_VALUE"""),"LEGA")</f>
        <v>LEGA</v>
      </c>
      <c r="E27" s="3" t="str">
        <f aca="false">IFERROR(__xludf.dummyfunction("""COMPUTED_VALUE"""),"Grade 4")</f>
        <v>Grade 4</v>
      </c>
      <c r="F27" s="3" t="n">
        <f aca="false">IFERROR(__xludf.dummyfunction("""COMPUTED_VALUE"""),4)</f>
        <v>4</v>
      </c>
      <c r="G27" s="3"/>
      <c r="H27" s="3"/>
      <c r="I27" s="3" t="n">
        <f aca="false">IFERROR(__xludf.dummyfunction("""COMPUTED_VALUE"""),4)</f>
        <v>4</v>
      </c>
      <c r="J27" s="3"/>
      <c r="K27" s="3"/>
      <c r="L27" s="4" t="n">
        <f aca="false">IFERROR(__xludf.dummyfunction("""COMPUTED_VALUE"""),11.95)</f>
        <v>11.95</v>
      </c>
      <c r="M27" s="3" t="n">
        <f aca="false">IFERROR(__xludf.dummyfunction("""COMPUTED_VALUE"""),4)</f>
        <v>4</v>
      </c>
      <c r="N27" s="3"/>
      <c r="O27" s="3"/>
      <c r="P27" s="4" t="n">
        <f aca="false">IFERROR(__xludf.dummyfunction("""COMPUTED_VALUE"""),12.7)</f>
        <v>12.7</v>
      </c>
      <c r="Q27" s="3" t="n">
        <f aca="false">IFERROR(__xludf.dummyfunction("""COMPUTED_VALUE"""),4)</f>
        <v>4</v>
      </c>
      <c r="R27" s="3"/>
      <c r="S27" s="3"/>
      <c r="T27" s="4" t="n">
        <f aca="false">IFERROR(__xludf.dummyfunction("""COMPUTED_VALUE"""),12.1)</f>
        <v>12.1</v>
      </c>
      <c r="U27" s="3" t="n">
        <f aca="false">IFERROR(__xludf.dummyfunction("""COMPUTED_VALUE"""),4)</f>
        <v>4</v>
      </c>
      <c r="V27" s="3"/>
      <c r="W27" s="3"/>
      <c r="X27" s="4" t="n">
        <f aca="false">IFERROR(__xludf.dummyfunction("""COMPUTED_VALUE"""),11.05)</f>
        <v>11.05</v>
      </c>
      <c r="Y27" s="3" t="n">
        <f aca="false">IFERROR(__xludf.dummyfunction("""COMPUTED_VALUE"""),2)</f>
        <v>2</v>
      </c>
      <c r="Z27" s="3"/>
      <c r="AA27" s="3"/>
      <c r="AB27" s="4" t="n">
        <f aca="false">IFERROR(__xludf.dummyfunction("""COMPUTED_VALUE"""),9.95)</f>
        <v>9.95</v>
      </c>
      <c r="AC27" s="4" t="n">
        <f aca="false">IFERROR(__xludf.dummyfunction("""COMPUTED_VALUE"""),57.75)</f>
        <v>57.75</v>
      </c>
      <c r="AD27" s="3" t="n">
        <f aca="false">IFERROR(__xludf.dummyfunction("""COMPUTED_VALUE"""),12)</f>
        <v>12</v>
      </c>
    </row>
    <row r="28" customFormat="false" ht="15.75" hidden="false" customHeight="false" outlineLevel="0" collapsed="false">
      <c r="A28" s="3" t="n">
        <f aca="false">IFERROR(__xludf.dummyfunction("""COMPUTED_VALUE"""),50)</f>
        <v>50</v>
      </c>
      <c r="B28" s="3" t="str">
        <f aca="false">IFERROR(__xludf.dummyfunction("""COMPUTED_VALUE"""),"Alesha")</f>
        <v>Alesha</v>
      </c>
      <c r="C28" s="3" t="str">
        <f aca="false">IFERROR(__xludf.dummyfunction("""COMPUTED_VALUE"""),"Gayle")</f>
        <v>Gayle</v>
      </c>
      <c r="D28" s="3" t="str">
        <f aca="false">IFERROR(__xludf.dummyfunction("""COMPUTED_VALUE"""),"LEGA")</f>
        <v>LEGA</v>
      </c>
      <c r="E28" s="3" t="str">
        <f aca="false">IFERROR(__xludf.dummyfunction("""COMPUTED_VALUE"""),"Grade 4")</f>
        <v>Grade 4</v>
      </c>
      <c r="F28" s="3" t="n">
        <f aca="false">IFERROR(__xludf.dummyfunction("""COMPUTED_VALUE"""),4)</f>
        <v>4</v>
      </c>
      <c r="G28" s="3"/>
      <c r="H28" s="3"/>
      <c r="I28" s="3" t="n">
        <f aca="false">IFERROR(__xludf.dummyfunction("""COMPUTED_VALUE"""),4)</f>
        <v>4</v>
      </c>
      <c r="J28" s="3"/>
      <c r="K28" s="3"/>
      <c r="L28" s="4" t="n">
        <f aca="false">IFERROR(__xludf.dummyfunction("""COMPUTED_VALUE"""),12.45)</f>
        <v>12.45</v>
      </c>
      <c r="M28" s="3" t="n">
        <f aca="false">IFERROR(__xludf.dummyfunction("""COMPUTED_VALUE"""),4)</f>
        <v>4</v>
      </c>
      <c r="N28" s="3"/>
      <c r="O28" s="3"/>
      <c r="P28" s="4" t="n">
        <f aca="false">IFERROR(__xludf.dummyfunction("""COMPUTED_VALUE"""),12.55)</f>
        <v>12.55</v>
      </c>
      <c r="Q28" s="3" t="n">
        <f aca="false">IFERROR(__xludf.dummyfunction("""COMPUTED_VALUE"""),4)</f>
        <v>4</v>
      </c>
      <c r="R28" s="3"/>
      <c r="S28" s="3"/>
      <c r="T28" s="4" t="n">
        <f aca="false">IFERROR(__xludf.dummyfunction("""COMPUTED_VALUE"""),9.9)</f>
        <v>9.9</v>
      </c>
      <c r="U28" s="3" t="n">
        <f aca="false">IFERROR(__xludf.dummyfunction("""COMPUTED_VALUE"""),4)</f>
        <v>4</v>
      </c>
      <c r="V28" s="3"/>
      <c r="W28" s="3"/>
      <c r="X28" s="4" t="n">
        <f aca="false">IFERROR(__xludf.dummyfunction("""COMPUTED_VALUE"""),10.5)</f>
        <v>10.5</v>
      </c>
      <c r="Y28" s="3" t="n">
        <f aca="false">IFERROR(__xludf.dummyfunction("""COMPUTED_VALUE"""),2.5)</f>
        <v>2.5</v>
      </c>
      <c r="Z28" s="3"/>
      <c r="AA28" s="3"/>
      <c r="AB28" s="4" t="n">
        <f aca="false">IFERROR(__xludf.dummyfunction("""COMPUTED_VALUE"""),10.8)</f>
        <v>10.8</v>
      </c>
      <c r="AC28" s="4" t="n">
        <f aca="false">IFERROR(__xludf.dummyfunction("""COMPUTED_VALUE"""),56.2)</f>
        <v>56.2</v>
      </c>
      <c r="AD28" s="3" t="n">
        <f aca="false">IFERROR(__xludf.dummyfunction("""COMPUTED_VALUE"""),18)</f>
        <v>18</v>
      </c>
    </row>
    <row r="29" customFormat="false" ht="15.75" hidden="false" customHeight="false" outlineLevel="0" collapsed="false">
      <c r="A29" s="3" t="n">
        <f aca="false">IFERROR(__xludf.dummyfunction("""COMPUTED_VALUE"""),51)</f>
        <v>51</v>
      </c>
      <c r="B29" s="3" t="str">
        <f aca="false">IFERROR(__xludf.dummyfunction("""COMPUTED_VALUE"""),"Megan")</f>
        <v>Megan</v>
      </c>
      <c r="C29" s="3" t="str">
        <f aca="false">IFERROR(__xludf.dummyfunction("""COMPUTED_VALUE"""),"Marshall")</f>
        <v>Marshall</v>
      </c>
      <c r="D29" s="3" t="str">
        <f aca="false">IFERROR(__xludf.dummyfunction("""COMPUTED_VALUE"""),"LEGA")</f>
        <v>LEGA</v>
      </c>
      <c r="E29" s="3" t="str">
        <f aca="false">IFERROR(__xludf.dummyfunction("""COMPUTED_VALUE"""),"Grade 4")</f>
        <v>Grade 4</v>
      </c>
      <c r="F29" s="3" t="n">
        <f aca="false">IFERROR(__xludf.dummyfunction("""COMPUTED_VALUE"""),4)</f>
        <v>4</v>
      </c>
      <c r="G29" s="3"/>
      <c r="H29" s="3"/>
      <c r="I29" s="3" t="n">
        <f aca="false">IFERROR(__xludf.dummyfunction("""COMPUTED_VALUE"""),4)</f>
        <v>4</v>
      </c>
      <c r="J29" s="3"/>
      <c r="K29" s="3"/>
      <c r="L29" s="4" t="n">
        <f aca="false">IFERROR(__xludf.dummyfunction("""COMPUTED_VALUE"""),11.55)</f>
        <v>11.55</v>
      </c>
      <c r="M29" s="3" t="n">
        <f aca="false">IFERROR(__xludf.dummyfunction("""COMPUTED_VALUE"""),4)</f>
        <v>4</v>
      </c>
      <c r="N29" s="3"/>
      <c r="O29" s="3"/>
      <c r="P29" s="4" t="n">
        <f aca="false">IFERROR(__xludf.dummyfunction("""COMPUTED_VALUE"""),12.35)</f>
        <v>12.35</v>
      </c>
      <c r="Q29" s="3" t="n">
        <f aca="false">IFERROR(__xludf.dummyfunction("""COMPUTED_VALUE"""),4)</f>
        <v>4</v>
      </c>
      <c r="R29" s="3"/>
      <c r="S29" s="3"/>
      <c r="T29" s="4" t="n">
        <f aca="false">IFERROR(__xludf.dummyfunction("""COMPUTED_VALUE"""),10.3)</f>
        <v>10.3</v>
      </c>
      <c r="U29" s="3" t="n">
        <f aca="false">IFERROR(__xludf.dummyfunction("""COMPUTED_VALUE"""),4)</f>
        <v>4</v>
      </c>
      <c r="V29" s="3"/>
      <c r="W29" s="3"/>
      <c r="X29" s="4" t="n">
        <f aca="false">IFERROR(__xludf.dummyfunction("""COMPUTED_VALUE"""),10.15)</f>
        <v>10.15</v>
      </c>
      <c r="Y29" s="3" t="n">
        <f aca="false">IFERROR(__xludf.dummyfunction("""COMPUTED_VALUE"""),3.5)</f>
        <v>3.5</v>
      </c>
      <c r="Z29" s="3"/>
      <c r="AA29" s="3"/>
      <c r="AB29" s="4" t="n">
        <f aca="false">IFERROR(__xludf.dummyfunction("""COMPUTED_VALUE"""),12.4)</f>
        <v>12.4</v>
      </c>
      <c r="AC29" s="4" t="n">
        <f aca="false">IFERROR(__xludf.dummyfunction("""COMPUTED_VALUE"""),56.75)</f>
        <v>56.75</v>
      </c>
      <c r="AD29" s="3" t="n">
        <f aca="false">IFERROR(__xludf.dummyfunction("""COMPUTED_VALUE"""),16)</f>
        <v>16</v>
      </c>
    </row>
    <row r="30" customFormat="false" ht="15.75" hidden="false" customHeight="false" outlineLevel="0" collapsed="false">
      <c r="A30" s="3" t="n">
        <f aca="false">IFERROR(__xludf.dummyfunction("""COMPUTED_VALUE"""),52)</f>
        <v>52</v>
      </c>
      <c r="B30" s="3" t="str">
        <f aca="false">IFERROR(__xludf.dummyfunction("""COMPUTED_VALUE"""),"Seren")</f>
        <v>Seren</v>
      </c>
      <c r="C30" s="3" t="str">
        <f aca="false">IFERROR(__xludf.dummyfunction("""COMPUTED_VALUE"""),"Davies")</f>
        <v>Davies</v>
      </c>
      <c r="D30" s="3" t="str">
        <f aca="false">IFERROR(__xludf.dummyfunction("""COMPUTED_VALUE"""),"SSGC")</f>
        <v>SSGC</v>
      </c>
      <c r="E30" s="3" t="str">
        <f aca="false">IFERROR(__xludf.dummyfunction("""COMPUTED_VALUE"""),"Grade 4")</f>
        <v>Grade 4</v>
      </c>
      <c r="F30" s="3" t="n">
        <f aca="false">IFERROR(__xludf.dummyfunction("""COMPUTED_VALUE"""),4)</f>
        <v>4</v>
      </c>
      <c r="G30" s="3"/>
      <c r="H30" s="3"/>
      <c r="I30" s="3" t="n">
        <f aca="false">IFERROR(__xludf.dummyfunction("""COMPUTED_VALUE"""),4)</f>
        <v>4</v>
      </c>
      <c r="J30" s="3"/>
      <c r="K30" s="3"/>
      <c r="L30" s="4" t="n">
        <f aca="false">IFERROR(__xludf.dummyfunction("""COMPUTED_VALUE"""),11.85)</f>
        <v>11.85</v>
      </c>
      <c r="M30" s="3" t="n">
        <f aca="false">IFERROR(__xludf.dummyfunction("""COMPUTED_VALUE"""),4)</f>
        <v>4</v>
      </c>
      <c r="N30" s="3"/>
      <c r="O30" s="3"/>
      <c r="P30" s="4" t="n">
        <f aca="false">IFERROR(__xludf.dummyfunction("""COMPUTED_VALUE"""),13.25)</f>
        <v>13.25</v>
      </c>
      <c r="Q30" s="3" t="n">
        <f aca="false">IFERROR(__xludf.dummyfunction("""COMPUTED_VALUE"""),4)</f>
        <v>4</v>
      </c>
      <c r="R30" s="3"/>
      <c r="S30" s="3"/>
      <c r="T30" s="4" t="n">
        <f aca="false">IFERROR(__xludf.dummyfunction("""COMPUTED_VALUE"""),10.6)</f>
        <v>10.6</v>
      </c>
      <c r="U30" s="3" t="n">
        <f aca="false">IFERROR(__xludf.dummyfunction("""COMPUTED_VALUE"""),4)</f>
        <v>4</v>
      </c>
      <c r="V30" s="3"/>
      <c r="W30" s="3"/>
      <c r="X30" s="4" t="n">
        <f aca="false">IFERROR(__xludf.dummyfunction("""COMPUTED_VALUE"""),10.5)</f>
        <v>10.5</v>
      </c>
      <c r="Y30" s="3" t="n">
        <f aca="false">IFERROR(__xludf.dummyfunction("""COMPUTED_VALUE"""),3.5)</f>
        <v>3.5</v>
      </c>
      <c r="Z30" s="3"/>
      <c r="AA30" s="3"/>
      <c r="AB30" s="4" t="n">
        <f aca="false">IFERROR(__xludf.dummyfunction("""COMPUTED_VALUE"""),11.1)</f>
        <v>11.1</v>
      </c>
      <c r="AC30" s="4" t="n">
        <f aca="false">IFERROR(__xludf.dummyfunction("""COMPUTED_VALUE"""),57.3)</f>
        <v>57.3</v>
      </c>
      <c r="AD30" s="3" t="n">
        <f aca="false">IFERROR(__xludf.dummyfunction("""COMPUTED_VALUE"""),14)</f>
        <v>14</v>
      </c>
    </row>
    <row r="31" customFormat="false" ht="15.75" hidden="false" customHeight="false" outlineLevel="0" collapsed="false">
      <c r="A31" s="3" t="n">
        <f aca="false">IFERROR(__xludf.dummyfunction("""COMPUTED_VALUE"""),53)</f>
        <v>53</v>
      </c>
      <c r="B31" s="3" t="str">
        <f aca="false">IFERROR(__xludf.dummyfunction("""COMPUTED_VALUE"""),"Leah")</f>
        <v>Leah</v>
      </c>
      <c r="C31" s="3" t="str">
        <f aca="false">IFERROR(__xludf.dummyfunction("""COMPUTED_VALUE"""),"Sutton")</f>
        <v>Sutton</v>
      </c>
      <c r="D31" s="3" t="str">
        <f aca="false">IFERROR(__xludf.dummyfunction("""COMPUTED_VALUE"""),"SSGC")</f>
        <v>SSGC</v>
      </c>
      <c r="E31" s="3" t="str">
        <f aca="false">IFERROR(__xludf.dummyfunction("""COMPUTED_VALUE"""),"Grade 4")</f>
        <v>Grade 4</v>
      </c>
      <c r="F31" s="3" t="n">
        <f aca="false">IFERROR(__xludf.dummyfunction("""COMPUTED_VALUE"""),4)</f>
        <v>4</v>
      </c>
      <c r="G31" s="3"/>
      <c r="H31" s="3"/>
      <c r="I31" s="3" t="n">
        <f aca="false">IFERROR(__xludf.dummyfunction("""COMPUTED_VALUE"""),4)</f>
        <v>4</v>
      </c>
      <c r="J31" s="3"/>
      <c r="K31" s="3"/>
      <c r="L31" s="4" t="n">
        <f aca="false">IFERROR(__xludf.dummyfunction("""COMPUTED_VALUE"""),12.4)</f>
        <v>12.4</v>
      </c>
      <c r="M31" s="3" t="n">
        <f aca="false">IFERROR(__xludf.dummyfunction("""COMPUTED_VALUE"""),4)</f>
        <v>4</v>
      </c>
      <c r="N31" s="3"/>
      <c r="O31" s="3"/>
      <c r="P31" s="4" t="n">
        <f aca="false">IFERROR(__xludf.dummyfunction("""COMPUTED_VALUE"""),13)</f>
        <v>13</v>
      </c>
      <c r="Q31" s="3" t="n">
        <f aca="false">IFERROR(__xludf.dummyfunction("""COMPUTED_VALUE"""),4)</f>
        <v>4</v>
      </c>
      <c r="R31" s="3"/>
      <c r="S31" s="3" t="n">
        <f aca="false">IFERROR(__xludf.dummyfunction("""COMPUTED_VALUE"""),0.5)</f>
        <v>0.5</v>
      </c>
      <c r="T31" s="4" t="n">
        <f aca="false">IFERROR(__xludf.dummyfunction("""COMPUTED_VALUE"""),10.5)</f>
        <v>10.5</v>
      </c>
      <c r="U31" s="3" t="n">
        <f aca="false">IFERROR(__xludf.dummyfunction("""COMPUTED_VALUE"""),4)</f>
        <v>4</v>
      </c>
      <c r="V31" s="3"/>
      <c r="W31" s="3"/>
      <c r="X31" s="4" t="n">
        <f aca="false">IFERROR(__xludf.dummyfunction("""COMPUTED_VALUE"""),10.5)</f>
        <v>10.5</v>
      </c>
      <c r="Y31" s="3" t="n">
        <f aca="false">IFERROR(__xludf.dummyfunction("""COMPUTED_VALUE"""),2.5)</f>
        <v>2.5</v>
      </c>
      <c r="Z31" s="3"/>
      <c r="AA31" s="3"/>
      <c r="AB31" s="4" t="n">
        <f aca="false">IFERROR(__xludf.dummyfunction("""COMPUTED_VALUE"""),10)</f>
        <v>10</v>
      </c>
      <c r="AC31" s="4" t="n">
        <f aca="false">IFERROR(__xludf.dummyfunction("""COMPUTED_VALUE"""),56.4)</f>
        <v>56.4</v>
      </c>
      <c r="AD31" s="3" t="n">
        <f aca="false">IFERROR(__xludf.dummyfunction("""COMPUTED_VALUE"""),17)</f>
        <v>17</v>
      </c>
    </row>
    <row r="32" customFormat="false" ht="15.75" hidden="false" customHeight="false" outlineLevel="0" collapsed="false">
      <c r="A32" s="3" t="n">
        <f aca="false">IFERROR(__xludf.dummyfunction("""COMPUTED_VALUE"""),54)</f>
        <v>54</v>
      </c>
      <c r="B32" s="3" t="str">
        <f aca="false">IFERROR(__xludf.dummyfunction("""COMPUTED_VALUE"""),"Robyn")</f>
        <v>Robyn</v>
      </c>
      <c r="C32" s="3" t="str">
        <f aca="false">IFERROR(__xludf.dummyfunction("""COMPUTED_VALUE"""),"Cooke")</f>
        <v>Cooke</v>
      </c>
      <c r="D32" s="3" t="str">
        <f aca="false">IFERROR(__xludf.dummyfunction("""COMPUTED_VALUE"""),"SSGC")</f>
        <v>SSGC</v>
      </c>
      <c r="E32" s="3" t="str">
        <f aca="false">IFERROR(__xludf.dummyfunction("""COMPUTED_VALUE"""),"Grade 4")</f>
        <v>Grade 4</v>
      </c>
      <c r="F32" s="3" t="n">
        <f aca="false">IFERROR(__xludf.dummyfunction("""COMPUTED_VALUE"""),4)</f>
        <v>4</v>
      </c>
      <c r="G32" s="3"/>
      <c r="H32" s="3"/>
      <c r="I32" s="3" t="n">
        <f aca="false">IFERROR(__xludf.dummyfunction("""COMPUTED_VALUE"""),4)</f>
        <v>4</v>
      </c>
      <c r="J32" s="3"/>
      <c r="K32" s="3"/>
      <c r="L32" s="4" t="n">
        <f aca="false">IFERROR(__xludf.dummyfunction("""COMPUTED_VALUE"""),12.1)</f>
        <v>12.1</v>
      </c>
      <c r="M32" s="3" t="n">
        <f aca="false">IFERROR(__xludf.dummyfunction("""COMPUTED_VALUE"""),4)</f>
        <v>4</v>
      </c>
      <c r="N32" s="3"/>
      <c r="O32" s="3"/>
      <c r="P32" s="4" t="n">
        <f aca="false">IFERROR(__xludf.dummyfunction("""COMPUTED_VALUE"""),13.3)</f>
        <v>13.3</v>
      </c>
      <c r="Q32" s="3" t="n">
        <f aca="false">IFERROR(__xludf.dummyfunction("""COMPUTED_VALUE"""),4)</f>
        <v>4</v>
      </c>
      <c r="R32" s="3"/>
      <c r="S32" s="3"/>
      <c r="T32" s="4" t="n">
        <f aca="false">IFERROR(__xludf.dummyfunction("""COMPUTED_VALUE"""),10.9)</f>
        <v>10.9</v>
      </c>
      <c r="U32" s="3" t="n">
        <f aca="false">IFERROR(__xludf.dummyfunction("""COMPUTED_VALUE"""),4)</f>
        <v>4</v>
      </c>
      <c r="V32" s="3"/>
      <c r="W32" s="3"/>
      <c r="X32" s="4" t="n">
        <f aca="false">IFERROR(__xludf.dummyfunction("""COMPUTED_VALUE"""),10.35)</f>
        <v>10.35</v>
      </c>
      <c r="Y32" s="3" t="n">
        <f aca="false">IFERROR(__xludf.dummyfunction("""COMPUTED_VALUE"""),4)</f>
        <v>4</v>
      </c>
      <c r="Z32" s="3"/>
      <c r="AA32" s="3"/>
      <c r="AB32" s="4" t="n">
        <f aca="false">IFERROR(__xludf.dummyfunction("""COMPUTED_VALUE"""),13.1)</f>
        <v>13.1</v>
      </c>
      <c r="AC32" s="4" t="n">
        <f aca="false">IFERROR(__xludf.dummyfunction("""COMPUTED_VALUE"""),59.75)</f>
        <v>59.75</v>
      </c>
      <c r="AD32" s="3" t="n">
        <f aca="false">IFERROR(__xludf.dummyfunction("""COMPUTED_VALUE"""),6)</f>
        <v>6</v>
      </c>
    </row>
    <row r="33" customFormat="false" ht="15.75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customFormat="false" ht="15.7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customFormat="false" ht="15.75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customFormat="false" ht="15.7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customFormat="false" ht="15.75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customFormat="false" ht="15.75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customFormat="false" ht="15.75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customFormat="false" ht="15.75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</sheetData>
  <mergeCells count="1">
    <mergeCell ref="A1:AD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C20" activeCellId="0" sqref="AC20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5.13"/>
    <col collapsed="false" customWidth="true" hidden="false" outlineLevel="0" max="3" min="3" style="0" width="12.13"/>
    <col collapsed="false" customWidth="true" hidden="false" outlineLevel="0" max="4" min="4" style="0" width="9.38"/>
    <col collapsed="false" customWidth="false" hidden="true" outlineLevel="0" max="5" min="5" style="0" width="12.63"/>
    <col collapsed="false" customWidth="true" hidden="false" outlineLevel="0" max="6" min="6" style="0" width="4.63"/>
    <col collapsed="false" customWidth="true" hidden="false" outlineLevel="0" max="7" min="7" style="0" width="3.5"/>
    <col collapsed="false" customWidth="true" hidden="false" outlineLevel="0" max="8" min="8" style="0" width="4.75"/>
    <col collapsed="false" customWidth="true" hidden="false" outlineLevel="0" max="9" min="9" style="0" width="4.63"/>
    <col collapsed="false" customWidth="true" hidden="false" outlineLevel="0" max="10" min="10" style="0" width="3.5"/>
    <col collapsed="false" customWidth="true" hidden="false" outlineLevel="0" max="11" min="11" style="0" width="4.75"/>
    <col collapsed="false" customWidth="true" hidden="false" outlineLevel="0" max="13" min="13" style="0" width="3.25"/>
    <col collapsed="false" customWidth="true" hidden="false" outlineLevel="0" max="14" min="14" style="0" width="2.12"/>
    <col collapsed="false" customWidth="true" hidden="false" outlineLevel="0" max="15" min="15" style="0" width="3.37"/>
    <col collapsed="false" customWidth="true" hidden="false" outlineLevel="0" max="17" min="17" style="0" width="3.25"/>
    <col collapsed="false" customWidth="true" hidden="false" outlineLevel="0" max="18" min="18" style="0" width="2.12"/>
    <col collapsed="false" customWidth="true" hidden="false" outlineLevel="0" max="19" min="19" style="0" width="3.37"/>
    <col collapsed="false" customWidth="true" hidden="false" outlineLevel="0" max="21" min="21" style="0" width="3.25"/>
    <col collapsed="false" customWidth="true" hidden="false" outlineLevel="0" max="22" min="22" style="0" width="2.12"/>
    <col collapsed="false" customWidth="true" hidden="false" outlineLevel="0" max="23" min="23" style="0" width="3.37"/>
    <col collapsed="false" customWidth="true" hidden="false" outlineLevel="0" max="25" min="25" style="0" width="3.25"/>
    <col collapsed="false" customWidth="true" hidden="false" outlineLevel="0" max="26" min="26" style="0" width="2.12"/>
    <col collapsed="false" customWidth="true" hidden="false" outlineLevel="0" max="27" min="27" style="0" width="3.37"/>
    <col collapsed="false" customWidth="true" hidden="false" outlineLevel="0" max="30" min="30" style="0" width="3.88"/>
  </cols>
  <sheetData>
    <row r="1" customFormat="false" ht="15.75" hidden="false" customHeight="false" outlineLevel="0" collapsed="false">
      <c r="A1" s="1" t="str">
        <f aca="false">IFERROR(__xludf.dummyfunction("IMPORTRANGE(""https://docs.google.com/spreadsheets/d/12hYoABwbIKZWH999TWWKy4O4jwUQxKKoQeVE5C79uUA/edit#gid=145122673"",""Grade 5 Results!A1:AD40"")"),"Grade 5")</f>
        <v>Grade 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customFormat="false" ht="15.75" hidden="false" customHeight="false" outlineLevel="0" collapsed="false">
      <c r="A2" s="3" t="str">
        <f aca="false">IFERROR(__xludf.dummyfunction("""COMPUTED_VALUE"""),"No.")</f>
        <v>No.</v>
      </c>
      <c r="B2" s="3" t="str">
        <f aca="false">IFERROR(__xludf.dummyfunction("""COMPUTED_VALUE"""),"Name")</f>
        <v>Name</v>
      </c>
      <c r="C2" s="3"/>
      <c r="D2" s="3" t="str">
        <f aca="false">IFERROR(__xludf.dummyfunction("""COMPUTED_VALUE"""),"Club")</f>
        <v>Club</v>
      </c>
      <c r="E2" s="3" t="str">
        <f aca="false">IFERROR(__xludf.dummyfunction("""COMPUTED_VALUE"""),"Level")</f>
        <v>Level</v>
      </c>
      <c r="F2" s="3" t="str">
        <f aca="false">IFERROR(__xludf.dummyfunction("""COMPUTED_VALUE"""),"1 SV")</f>
        <v>1 SV</v>
      </c>
      <c r="G2" s="3" t="str">
        <f aca="false">IFERROR(__xludf.dummyfunction("""COMPUTED_VALUE"""),"1 B")</f>
        <v>1 B</v>
      </c>
      <c r="H2" s="3" t="str">
        <f aca="false">IFERROR(__xludf.dummyfunction("""COMPUTED_VALUE"""),"1 ND")</f>
        <v>1 ND</v>
      </c>
      <c r="I2" s="3" t="str">
        <f aca="false">IFERROR(__xludf.dummyfunction("""COMPUTED_VALUE"""),"2 SV")</f>
        <v>2 SV</v>
      </c>
      <c r="J2" s="3" t="str">
        <f aca="false">IFERROR(__xludf.dummyfunction("""COMPUTED_VALUE"""),"2 B")</f>
        <v>2 B</v>
      </c>
      <c r="K2" s="3" t="str">
        <f aca="false">IFERROR(__xludf.dummyfunction("""COMPUTED_VALUE"""),"2 ND")</f>
        <v>2 ND</v>
      </c>
      <c r="L2" s="3" t="str">
        <f aca="false">IFERROR(__xludf.dummyfunction("""COMPUTED_VALUE"""),"Vault")</f>
        <v>Vault</v>
      </c>
      <c r="M2" s="3" t="str">
        <f aca="false">IFERROR(__xludf.dummyfunction("""COMPUTED_VALUE"""),"SV")</f>
        <v>SV</v>
      </c>
      <c r="N2" s="3" t="str">
        <f aca="false">IFERROR(__xludf.dummyfunction("""COMPUTED_VALUE"""),"B")</f>
        <v>B</v>
      </c>
      <c r="O2" s="3" t="str">
        <f aca="false">IFERROR(__xludf.dummyfunction("""COMPUTED_VALUE"""),"ND")</f>
        <v>ND</v>
      </c>
      <c r="P2" s="3" t="str">
        <f aca="false">IFERROR(__xludf.dummyfunction("""COMPUTED_VALUE"""),"Bars")</f>
        <v>Bars</v>
      </c>
      <c r="Q2" s="3" t="str">
        <f aca="false">IFERROR(__xludf.dummyfunction("""COMPUTED_VALUE"""),"SV")</f>
        <v>SV</v>
      </c>
      <c r="R2" s="3" t="str">
        <f aca="false">IFERROR(__xludf.dummyfunction("""COMPUTED_VALUE"""),"B")</f>
        <v>B</v>
      </c>
      <c r="S2" s="3" t="str">
        <f aca="false">IFERROR(__xludf.dummyfunction("""COMPUTED_VALUE"""),"ND")</f>
        <v>ND</v>
      </c>
      <c r="T2" s="3" t="str">
        <f aca="false">IFERROR(__xludf.dummyfunction("""COMPUTED_VALUE"""),"Beam")</f>
        <v>Beam</v>
      </c>
      <c r="U2" s="3" t="str">
        <f aca="false">IFERROR(__xludf.dummyfunction("""COMPUTED_VALUE"""),"SV")</f>
        <v>SV</v>
      </c>
      <c r="V2" s="3" t="str">
        <f aca="false">IFERROR(__xludf.dummyfunction("""COMPUTED_VALUE"""),"B")</f>
        <v>B</v>
      </c>
      <c r="W2" s="3" t="str">
        <f aca="false">IFERROR(__xludf.dummyfunction("""COMPUTED_VALUE"""),"ND")</f>
        <v>ND</v>
      </c>
      <c r="X2" s="3" t="str">
        <f aca="false">IFERROR(__xludf.dummyfunction("""COMPUTED_VALUE"""),"Floor")</f>
        <v>Floor</v>
      </c>
      <c r="Y2" s="3" t="str">
        <f aca="false">IFERROR(__xludf.dummyfunction("""COMPUTED_VALUE"""),"SV")</f>
        <v>SV</v>
      </c>
      <c r="Z2" s="3" t="str">
        <f aca="false">IFERROR(__xludf.dummyfunction("""COMPUTED_VALUE"""),"B")</f>
        <v>B</v>
      </c>
      <c r="AA2" s="3" t="str">
        <f aca="false">IFERROR(__xludf.dummyfunction("""COMPUTED_VALUE"""),"ND")</f>
        <v>ND</v>
      </c>
      <c r="AB2" s="3" t="str">
        <f aca="false">IFERROR(__xludf.dummyfunction("""COMPUTED_VALUE"""),"R&amp;C")</f>
        <v>R&amp;C</v>
      </c>
      <c r="AC2" s="3" t="str">
        <f aca="false">IFERROR(__xludf.dummyfunction("""COMPUTED_VALUE"""),"Total")</f>
        <v>Total</v>
      </c>
      <c r="AD2" s="3" t="str">
        <f aca="false">IFERROR(__xludf.dummyfunction("""COMPUTED_VALUE"""),"Pos")</f>
        <v>Pos</v>
      </c>
    </row>
    <row r="3" customFormat="false" ht="15.75" hidden="false" customHeight="false" outlineLevel="0" collapsed="false">
      <c r="A3" s="7" t="n">
        <f aca="false">IFERROR(__xludf.dummyfunction("""COMPUTED_VALUE"""),1)</f>
        <v>1</v>
      </c>
      <c r="B3" s="7" t="str">
        <f aca="false">IFERROR(__xludf.dummyfunction("""COMPUTED_VALUE"""),"Hannah")</f>
        <v>Hannah</v>
      </c>
      <c r="C3" s="7" t="str">
        <f aca="false">IFERROR(__xludf.dummyfunction("""COMPUTED_VALUE"""),"Borrowska")</f>
        <v>Borrowska</v>
      </c>
      <c r="D3" s="7" t="str">
        <f aca="false">IFERROR(__xludf.dummyfunction("""COMPUTED_VALUE"""),"RGA")</f>
        <v>RGA</v>
      </c>
      <c r="E3" s="7" t="str">
        <f aca="false">IFERROR(__xludf.dummyfunction("""COMPUTED_VALUE"""),"Grade 5")</f>
        <v>Grade 5</v>
      </c>
      <c r="F3" s="7" t="n">
        <f aca="false">IFERROR(__xludf.dummyfunction("""COMPUTED_VALUE"""),4)</f>
        <v>4</v>
      </c>
      <c r="G3" s="7"/>
      <c r="H3" s="7"/>
      <c r="I3" s="7" t="n">
        <f aca="false">IFERROR(__xludf.dummyfunction("""COMPUTED_VALUE"""),4)</f>
        <v>4</v>
      </c>
      <c r="J3" s="7"/>
      <c r="K3" s="7"/>
      <c r="L3" s="8" t="n">
        <f aca="false">IFERROR(__xludf.dummyfunction("""COMPUTED_VALUE"""),12.2)</f>
        <v>12.2</v>
      </c>
      <c r="M3" s="7" t="n">
        <f aca="false">IFERROR(__xludf.dummyfunction("""COMPUTED_VALUE"""),3.5)</f>
        <v>3.5</v>
      </c>
      <c r="N3" s="7"/>
      <c r="O3" s="7" t="n">
        <f aca="false">IFERROR(__xludf.dummyfunction("""COMPUTED_VALUE"""),2)</f>
        <v>2</v>
      </c>
      <c r="P3" s="8" t="n">
        <f aca="false">IFERROR(__xludf.dummyfunction("""COMPUTED_VALUE"""),9)</f>
        <v>9</v>
      </c>
      <c r="Q3" s="7" t="n">
        <f aca="false">IFERROR(__xludf.dummyfunction("""COMPUTED_VALUE"""),4)</f>
        <v>4</v>
      </c>
      <c r="R3" s="7"/>
      <c r="S3" s="7"/>
      <c r="T3" s="8" t="n">
        <f aca="false">IFERROR(__xludf.dummyfunction("""COMPUTED_VALUE"""),11.2)</f>
        <v>11.2</v>
      </c>
      <c r="U3" s="7" t="n">
        <f aca="false">IFERROR(__xludf.dummyfunction("""COMPUTED_VALUE"""),4)</f>
        <v>4</v>
      </c>
      <c r="V3" s="7"/>
      <c r="W3" s="7"/>
      <c r="X3" s="8" t="n">
        <f aca="false">IFERROR(__xludf.dummyfunction("""COMPUTED_VALUE"""),11.45)</f>
        <v>11.45</v>
      </c>
      <c r="Y3" s="7" t="n">
        <f aca="false">IFERROR(__xludf.dummyfunction("""COMPUTED_VALUE"""),3)</f>
        <v>3</v>
      </c>
      <c r="Z3" s="7"/>
      <c r="AA3" s="7"/>
      <c r="AB3" s="8" t="n">
        <f aca="false">IFERROR(__xludf.dummyfunction("""COMPUTED_VALUE"""),10.65)</f>
        <v>10.65</v>
      </c>
      <c r="AC3" s="8" t="n">
        <f aca="false">IFERROR(__xludf.dummyfunction("""COMPUTED_VALUE"""),54.5)</f>
        <v>54.5</v>
      </c>
      <c r="AD3" s="7" t="n">
        <f aca="false">IFERROR(__xludf.dummyfunction("""COMPUTED_VALUE"""),23)</f>
        <v>23</v>
      </c>
    </row>
    <row r="4" customFormat="false" ht="15.75" hidden="false" customHeight="false" outlineLevel="0" collapsed="false">
      <c r="A4" s="7" t="n">
        <f aca="false">IFERROR(__xludf.dummyfunction("""COMPUTED_VALUE"""),2)</f>
        <v>2</v>
      </c>
      <c r="B4" s="7" t="str">
        <f aca="false">IFERROR(__xludf.dummyfunction("""COMPUTED_VALUE"""),"Eloise")</f>
        <v>Eloise</v>
      </c>
      <c r="C4" s="7" t="str">
        <f aca="false">IFERROR(__xludf.dummyfunction("""COMPUTED_VALUE"""),"Thompson")</f>
        <v>Thompson</v>
      </c>
      <c r="D4" s="7" t="str">
        <f aca="false">IFERROR(__xludf.dummyfunction("""COMPUTED_VALUE"""),"RGA")</f>
        <v>RGA</v>
      </c>
      <c r="E4" s="7" t="str">
        <f aca="false">IFERROR(__xludf.dummyfunction("""COMPUTED_VALUE"""),"Grade 5")</f>
        <v>Grade 5</v>
      </c>
      <c r="F4" s="7" t="n">
        <f aca="false">IFERROR(__xludf.dummyfunction("""COMPUTED_VALUE"""),4)</f>
        <v>4</v>
      </c>
      <c r="G4" s="7"/>
      <c r="H4" s="7"/>
      <c r="I4" s="7" t="n">
        <f aca="false">IFERROR(__xludf.dummyfunction("""COMPUTED_VALUE"""),4)</f>
        <v>4</v>
      </c>
      <c r="J4" s="7"/>
      <c r="K4" s="7"/>
      <c r="L4" s="8" t="n">
        <f aca="false">IFERROR(__xludf.dummyfunction("""COMPUTED_VALUE"""),12.3)</f>
        <v>12.3</v>
      </c>
      <c r="M4" s="7" t="n">
        <f aca="false">IFERROR(__xludf.dummyfunction("""COMPUTED_VALUE"""),4)</f>
        <v>4</v>
      </c>
      <c r="N4" s="7"/>
      <c r="O4" s="7"/>
      <c r="P4" s="8" t="n">
        <f aca="false">IFERROR(__xludf.dummyfunction("""COMPUTED_VALUE"""),10.45)</f>
        <v>10.45</v>
      </c>
      <c r="Q4" s="7" t="n">
        <f aca="false">IFERROR(__xludf.dummyfunction("""COMPUTED_VALUE"""),4)</f>
        <v>4</v>
      </c>
      <c r="R4" s="7"/>
      <c r="S4" s="7"/>
      <c r="T4" s="8" t="n">
        <f aca="false">IFERROR(__xludf.dummyfunction("""COMPUTED_VALUE"""),11.15)</f>
        <v>11.15</v>
      </c>
      <c r="U4" s="7" t="n">
        <f aca="false">IFERROR(__xludf.dummyfunction("""COMPUTED_VALUE"""),4)</f>
        <v>4</v>
      </c>
      <c r="V4" s="7"/>
      <c r="W4" s="7"/>
      <c r="X4" s="8" t="n">
        <f aca="false">IFERROR(__xludf.dummyfunction("""COMPUTED_VALUE"""),11.6)</f>
        <v>11.6</v>
      </c>
      <c r="Y4" s="7" t="n">
        <f aca="false">IFERROR(__xludf.dummyfunction("""COMPUTED_VALUE"""),4)</f>
        <v>4</v>
      </c>
      <c r="Z4" s="7"/>
      <c r="AA4" s="7"/>
      <c r="AB4" s="8" t="n">
        <f aca="false">IFERROR(__xludf.dummyfunction("""COMPUTED_VALUE"""),10.65)</f>
        <v>10.65</v>
      </c>
      <c r="AC4" s="8" t="n">
        <f aca="false">IFERROR(__xludf.dummyfunction("""COMPUTED_VALUE"""),56.15)</f>
        <v>56.15</v>
      </c>
      <c r="AD4" s="7" t="n">
        <f aca="false">IFERROR(__xludf.dummyfunction("""COMPUTED_VALUE"""),18)</f>
        <v>18</v>
      </c>
    </row>
    <row r="5" customFormat="false" ht="15.75" hidden="false" customHeight="false" outlineLevel="0" collapsed="false">
      <c r="A5" s="7" t="n">
        <f aca="false">IFERROR(__xludf.dummyfunction("""COMPUTED_VALUE"""),3)</f>
        <v>3</v>
      </c>
      <c r="B5" s="7" t="str">
        <f aca="false">IFERROR(__xludf.dummyfunction("""COMPUTED_VALUE"""),"Aoibhe")</f>
        <v>Aoibhe</v>
      </c>
      <c r="C5" s="7" t="str">
        <f aca="false">IFERROR(__xludf.dummyfunction("""COMPUTED_VALUE"""),"Balasingam")</f>
        <v>Balasingam</v>
      </c>
      <c r="D5" s="7" t="str">
        <f aca="false">IFERROR(__xludf.dummyfunction("""COMPUTED_VALUE"""),"RGA")</f>
        <v>RGA</v>
      </c>
      <c r="E5" s="7" t="str">
        <f aca="false">IFERROR(__xludf.dummyfunction("""COMPUTED_VALUE"""),"Grade 5")</f>
        <v>Grade 5</v>
      </c>
      <c r="F5" s="7" t="n">
        <f aca="false">IFERROR(__xludf.dummyfunction("""COMPUTED_VALUE"""),4)</f>
        <v>4</v>
      </c>
      <c r="G5" s="7"/>
      <c r="H5" s="7"/>
      <c r="I5" s="7" t="n">
        <f aca="false">IFERROR(__xludf.dummyfunction("""COMPUTED_VALUE"""),4)</f>
        <v>4</v>
      </c>
      <c r="J5" s="7"/>
      <c r="K5" s="7"/>
      <c r="L5" s="8" t="n">
        <f aca="false">IFERROR(__xludf.dummyfunction("""COMPUTED_VALUE"""),12.2)</f>
        <v>12.2</v>
      </c>
      <c r="M5" s="7" t="n">
        <f aca="false">IFERROR(__xludf.dummyfunction("""COMPUTED_VALUE"""),3.5)</f>
        <v>3.5</v>
      </c>
      <c r="N5" s="7"/>
      <c r="O5" s="7" t="n">
        <f aca="false">IFERROR(__xludf.dummyfunction("""COMPUTED_VALUE"""),2)</f>
        <v>2</v>
      </c>
      <c r="P5" s="8" t="n">
        <f aca="false">IFERROR(__xludf.dummyfunction("""COMPUTED_VALUE"""),8.85)</f>
        <v>8.85</v>
      </c>
      <c r="Q5" s="7" t="n">
        <f aca="false">IFERROR(__xludf.dummyfunction("""COMPUTED_VALUE"""),4)</f>
        <v>4</v>
      </c>
      <c r="R5" s="7"/>
      <c r="S5" s="7"/>
      <c r="T5" s="8" t="n">
        <f aca="false">IFERROR(__xludf.dummyfunction("""COMPUTED_VALUE"""),9.85)</f>
        <v>9.85</v>
      </c>
      <c r="U5" s="7" t="n">
        <f aca="false">IFERROR(__xludf.dummyfunction("""COMPUTED_VALUE"""),4)</f>
        <v>4</v>
      </c>
      <c r="V5" s="7"/>
      <c r="W5" s="7"/>
      <c r="X5" s="8" t="n">
        <f aca="false">IFERROR(__xludf.dummyfunction("""COMPUTED_VALUE"""),11.05)</f>
        <v>11.05</v>
      </c>
      <c r="Y5" s="7" t="n">
        <f aca="false">IFERROR(__xludf.dummyfunction("""COMPUTED_VALUE"""),3.5)</f>
        <v>3.5</v>
      </c>
      <c r="Z5" s="7"/>
      <c r="AA5" s="7"/>
      <c r="AB5" s="8" t="n">
        <f aca="false">IFERROR(__xludf.dummyfunction("""COMPUTED_VALUE"""),11.05)</f>
        <v>11.05</v>
      </c>
      <c r="AC5" s="8" t="n">
        <f aca="false">IFERROR(__xludf.dummyfunction("""COMPUTED_VALUE"""),53)</f>
        <v>53</v>
      </c>
      <c r="AD5" s="7" t="n">
        <f aca="false">IFERROR(__xludf.dummyfunction("""COMPUTED_VALUE"""),32)</f>
        <v>32</v>
      </c>
    </row>
    <row r="6" customFormat="false" ht="15.75" hidden="false" customHeight="false" outlineLevel="0" collapsed="false">
      <c r="A6" s="7" t="n">
        <f aca="false">IFERROR(__xludf.dummyfunction("""COMPUTED_VALUE"""),4)</f>
        <v>4</v>
      </c>
      <c r="B6" s="7" t="str">
        <f aca="false">IFERROR(__xludf.dummyfunction("""COMPUTED_VALUE"""),"Ava")</f>
        <v>Ava</v>
      </c>
      <c r="C6" s="7" t="str">
        <f aca="false">IFERROR(__xludf.dummyfunction("""COMPUTED_VALUE"""),"Cantwell")</f>
        <v>Cantwell</v>
      </c>
      <c r="D6" s="7" t="str">
        <f aca="false">IFERROR(__xludf.dummyfunction("""COMPUTED_VALUE"""),"RGA")</f>
        <v>RGA</v>
      </c>
      <c r="E6" s="7" t="str">
        <f aca="false">IFERROR(__xludf.dummyfunction("""COMPUTED_VALUE"""),"Grade 5")</f>
        <v>Grade 5</v>
      </c>
      <c r="F6" s="7" t="n">
        <f aca="false">IFERROR(__xludf.dummyfunction("""COMPUTED_VALUE"""),4)</f>
        <v>4</v>
      </c>
      <c r="G6" s="7"/>
      <c r="H6" s="7"/>
      <c r="I6" s="7" t="n">
        <f aca="false">IFERROR(__xludf.dummyfunction("""COMPUTED_VALUE"""),4)</f>
        <v>4</v>
      </c>
      <c r="J6" s="7"/>
      <c r="K6" s="7"/>
      <c r="L6" s="8" t="n">
        <f aca="false">IFERROR(__xludf.dummyfunction("""COMPUTED_VALUE"""),12.45)</f>
        <v>12.45</v>
      </c>
      <c r="M6" s="7" t="n">
        <f aca="false">IFERROR(__xludf.dummyfunction("""COMPUTED_VALUE"""),4)</f>
        <v>4</v>
      </c>
      <c r="N6" s="7"/>
      <c r="O6" s="7"/>
      <c r="P6" s="8" t="n">
        <f aca="false">IFERROR(__xludf.dummyfunction("""COMPUTED_VALUE"""),12.35)</f>
        <v>12.35</v>
      </c>
      <c r="Q6" s="7" t="n">
        <f aca="false">IFERROR(__xludf.dummyfunction("""COMPUTED_VALUE"""),4)</f>
        <v>4</v>
      </c>
      <c r="R6" s="7"/>
      <c r="S6" s="7"/>
      <c r="T6" s="8" t="n">
        <f aca="false">IFERROR(__xludf.dummyfunction("""COMPUTED_VALUE"""),11.4)</f>
        <v>11.4</v>
      </c>
      <c r="U6" s="7" t="n">
        <f aca="false">IFERROR(__xludf.dummyfunction("""COMPUTED_VALUE"""),4)</f>
        <v>4</v>
      </c>
      <c r="V6" s="7"/>
      <c r="W6" s="7"/>
      <c r="X6" s="8" t="n">
        <f aca="false">IFERROR(__xludf.dummyfunction("""COMPUTED_VALUE"""),12.15)</f>
        <v>12.15</v>
      </c>
      <c r="Y6" s="7" t="n">
        <f aca="false">IFERROR(__xludf.dummyfunction("""COMPUTED_VALUE"""),4)</f>
        <v>4</v>
      </c>
      <c r="Z6" s="7"/>
      <c r="AA6" s="7"/>
      <c r="AB6" s="8" t="n">
        <f aca="false">IFERROR(__xludf.dummyfunction("""COMPUTED_VALUE"""),12.15)</f>
        <v>12.15</v>
      </c>
      <c r="AC6" s="8" t="n">
        <f aca="false">IFERROR(__xludf.dummyfunction("""COMPUTED_VALUE"""),60.5)</f>
        <v>60.5</v>
      </c>
      <c r="AD6" s="7" t="n">
        <f aca="false">IFERROR(__xludf.dummyfunction("""COMPUTED_VALUE"""),6)</f>
        <v>6</v>
      </c>
    </row>
    <row r="7" customFormat="false" ht="15.75" hidden="true" customHeight="false" outlineLevel="0" collapsed="false">
      <c r="A7" s="7" t="n">
        <f aca="false">IFERROR(__xludf.dummyfunction("""COMPUTED_VALUE"""),5)</f>
        <v>5</v>
      </c>
      <c r="B7" s="7" t="str">
        <f aca="false">IFERROR(__xludf.dummyfunction("""COMPUTED_VALUE"""),"Evelyn")</f>
        <v>Evelyn</v>
      </c>
      <c r="C7" s="7" t="str">
        <f aca="false">IFERROR(__xludf.dummyfunction("""COMPUTED_VALUE"""),"Collins")</f>
        <v>Collins</v>
      </c>
      <c r="D7" s="7" t="str">
        <f aca="false">IFERROR(__xludf.dummyfunction("""COMPUTED_VALUE"""),"RGA")</f>
        <v>RGA</v>
      </c>
      <c r="E7" s="7" t="str">
        <f aca="false">IFERROR(__xludf.dummyfunction("""COMPUTED_VALUE"""),"Grade 5")</f>
        <v>Grade 5</v>
      </c>
      <c r="F7" s="7" t="str">
        <f aca="false">IFERROR(__xludf.dummyfunction("""COMPUTED_VALUE"""),"Withdrawn")</f>
        <v>Withdrawn</v>
      </c>
      <c r="G7" s="7"/>
      <c r="H7" s="7"/>
      <c r="I7" s="7"/>
      <c r="J7" s="7"/>
      <c r="K7" s="7"/>
      <c r="L7" s="7"/>
      <c r="M7" s="7" t="str">
        <f aca="false">IFERROR(__xludf.dummyfunction("""COMPUTED_VALUE"""),"Withdrawn")</f>
        <v>Withdrawn</v>
      </c>
      <c r="N7" s="7"/>
      <c r="O7" s="7"/>
      <c r="P7" s="7"/>
      <c r="Q7" s="7" t="str">
        <f aca="false">IFERROR(__xludf.dummyfunction("""COMPUTED_VALUE"""),"Withdrawn")</f>
        <v>Withdrawn</v>
      </c>
      <c r="R7" s="7"/>
      <c r="S7" s="7"/>
      <c r="T7" s="7"/>
      <c r="U7" s="7" t="str">
        <f aca="false">IFERROR(__xludf.dummyfunction("""COMPUTED_VALUE"""),"Withdrawn")</f>
        <v>Withdrawn</v>
      </c>
      <c r="V7" s="7"/>
      <c r="W7" s="7"/>
      <c r="X7" s="7"/>
      <c r="Y7" s="7" t="str">
        <f aca="false">IFERROR(__xludf.dummyfunction("""COMPUTED_VALUE"""),"Withdrawn")</f>
        <v>Withdrawn</v>
      </c>
      <c r="Z7" s="7"/>
      <c r="AA7" s="7"/>
      <c r="AB7" s="7"/>
      <c r="AC7" s="7" t="n">
        <f aca="false">IFERROR(__xludf.dummyfunction("""COMPUTED_VALUE"""),0)</f>
        <v>0</v>
      </c>
      <c r="AD7" s="7" t="n">
        <f aca="false">IFERROR(__xludf.dummyfunction("""COMPUTED_VALUE"""),45)</f>
        <v>45</v>
      </c>
    </row>
    <row r="8" customFormat="false" ht="15.75" hidden="false" customHeight="false" outlineLevel="0" collapsed="false">
      <c r="A8" s="7" t="n">
        <f aca="false">IFERROR(__xludf.dummyfunction("""COMPUTED_VALUE"""),6)</f>
        <v>6</v>
      </c>
      <c r="B8" s="7" t="str">
        <f aca="false">IFERROR(__xludf.dummyfunction("""COMPUTED_VALUE"""),"Olivia")</f>
        <v>Olivia</v>
      </c>
      <c r="C8" s="7" t="str">
        <f aca="false">IFERROR(__xludf.dummyfunction("""COMPUTED_VALUE"""),"Newport")</f>
        <v>Newport</v>
      </c>
      <c r="D8" s="7" t="str">
        <f aca="false">IFERROR(__xludf.dummyfunction("""COMPUTED_VALUE"""),"RGA")</f>
        <v>RGA</v>
      </c>
      <c r="E8" s="7" t="str">
        <f aca="false">IFERROR(__xludf.dummyfunction("""COMPUTED_VALUE"""),"Grade 5")</f>
        <v>Grade 5</v>
      </c>
      <c r="F8" s="7" t="n">
        <f aca="false">IFERROR(__xludf.dummyfunction("""COMPUTED_VALUE"""),4)</f>
        <v>4</v>
      </c>
      <c r="G8" s="7"/>
      <c r="H8" s="7"/>
      <c r="I8" s="7" t="n">
        <f aca="false">IFERROR(__xludf.dummyfunction("""COMPUTED_VALUE"""),4)</f>
        <v>4</v>
      </c>
      <c r="J8" s="7"/>
      <c r="K8" s="7"/>
      <c r="L8" s="8" t="n">
        <f aca="false">IFERROR(__xludf.dummyfunction("""COMPUTED_VALUE"""),12.35)</f>
        <v>12.35</v>
      </c>
      <c r="M8" s="7" t="n">
        <f aca="false">IFERROR(__xludf.dummyfunction("""COMPUTED_VALUE"""),3.5)</f>
        <v>3.5</v>
      </c>
      <c r="N8" s="7"/>
      <c r="O8" s="7" t="n">
        <f aca="false">IFERROR(__xludf.dummyfunction("""COMPUTED_VALUE"""),2)</f>
        <v>2</v>
      </c>
      <c r="P8" s="8" t="n">
        <f aca="false">IFERROR(__xludf.dummyfunction("""COMPUTED_VALUE"""),9.1)</f>
        <v>9.1</v>
      </c>
      <c r="Q8" s="7" t="n">
        <f aca="false">IFERROR(__xludf.dummyfunction("""COMPUTED_VALUE"""),4)</f>
        <v>4</v>
      </c>
      <c r="R8" s="7"/>
      <c r="S8" s="7"/>
      <c r="T8" s="8" t="n">
        <f aca="false">IFERROR(__xludf.dummyfunction("""COMPUTED_VALUE"""),11)</f>
        <v>11</v>
      </c>
      <c r="U8" s="7" t="n">
        <f aca="false">IFERROR(__xludf.dummyfunction("""COMPUTED_VALUE"""),4)</f>
        <v>4</v>
      </c>
      <c r="V8" s="7"/>
      <c r="W8" s="7"/>
      <c r="X8" s="8" t="n">
        <f aca="false">IFERROR(__xludf.dummyfunction("""COMPUTED_VALUE"""),11.75)</f>
        <v>11.75</v>
      </c>
      <c r="Y8" s="7" t="n">
        <f aca="false">IFERROR(__xludf.dummyfunction("""COMPUTED_VALUE"""),3)</f>
        <v>3</v>
      </c>
      <c r="Z8" s="7"/>
      <c r="AA8" s="7"/>
      <c r="AB8" s="8" t="n">
        <f aca="false">IFERROR(__xludf.dummyfunction("""COMPUTED_VALUE"""),9.65)</f>
        <v>9.65</v>
      </c>
      <c r="AC8" s="8" t="n">
        <f aca="false">IFERROR(__xludf.dummyfunction("""COMPUTED_VALUE"""),53.85)</f>
        <v>53.85</v>
      </c>
      <c r="AD8" s="7" t="n">
        <f aca="false">IFERROR(__xludf.dummyfunction("""COMPUTED_VALUE"""),29)</f>
        <v>29</v>
      </c>
    </row>
    <row r="9" customFormat="false" ht="15.75" hidden="false" customHeight="false" outlineLevel="0" collapsed="false">
      <c r="A9" s="3" t="n">
        <f aca="false">IFERROR(__xludf.dummyfunction("""COMPUTED_VALUE"""),7)</f>
        <v>7</v>
      </c>
      <c r="B9" s="3" t="str">
        <f aca="false">IFERROR(__xludf.dummyfunction("""COMPUTED_VALUE"""),"Madeleine")</f>
        <v>Madeleine</v>
      </c>
      <c r="C9" s="3" t="str">
        <f aca="false">IFERROR(__xludf.dummyfunction("""COMPUTED_VALUE"""),"Cooper")</f>
        <v>Cooper</v>
      </c>
      <c r="D9" s="3" t="str">
        <f aca="false">IFERROR(__xludf.dummyfunction("""COMPUTED_VALUE"""),"DYN SG")</f>
        <v>DYN SG</v>
      </c>
      <c r="E9" s="3" t="str">
        <f aca="false">IFERROR(__xludf.dummyfunction("""COMPUTED_VALUE"""),"Grade 5")</f>
        <v>Grade 5</v>
      </c>
      <c r="F9" s="3" t="n">
        <f aca="false">IFERROR(__xludf.dummyfunction("""COMPUTED_VALUE"""),4)</f>
        <v>4</v>
      </c>
      <c r="G9" s="3"/>
      <c r="H9" s="3"/>
      <c r="I9" s="3" t="n">
        <f aca="false">IFERROR(__xludf.dummyfunction("""COMPUTED_VALUE"""),4)</f>
        <v>4</v>
      </c>
      <c r="J9" s="3"/>
      <c r="K9" s="3"/>
      <c r="L9" s="4" t="n">
        <f aca="false">IFERROR(__xludf.dummyfunction("""COMPUTED_VALUE"""),12.75)</f>
        <v>12.75</v>
      </c>
      <c r="M9" s="3" t="n">
        <f aca="false">IFERROR(__xludf.dummyfunction("""COMPUTED_VALUE"""),4)</f>
        <v>4</v>
      </c>
      <c r="N9" s="3"/>
      <c r="O9" s="3"/>
      <c r="P9" s="4" t="n">
        <f aca="false">IFERROR(__xludf.dummyfunction("""COMPUTED_VALUE"""),10.7)</f>
        <v>10.7</v>
      </c>
      <c r="Q9" s="3" t="n">
        <f aca="false">IFERROR(__xludf.dummyfunction("""COMPUTED_VALUE"""),3.5)</f>
        <v>3.5</v>
      </c>
      <c r="R9" s="3"/>
      <c r="S9" s="3"/>
      <c r="T9" s="4" t="n">
        <f aca="false">IFERROR(__xludf.dummyfunction("""COMPUTED_VALUE"""),10.65)</f>
        <v>10.65</v>
      </c>
      <c r="U9" s="3" t="n">
        <f aca="false">IFERROR(__xludf.dummyfunction("""COMPUTED_VALUE"""),4)</f>
        <v>4</v>
      </c>
      <c r="V9" s="3"/>
      <c r="W9" s="3"/>
      <c r="X9" s="4" t="n">
        <f aca="false">IFERROR(__xludf.dummyfunction("""COMPUTED_VALUE"""),11.1)</f>
        <v>11.1</v>
      </c>
      <c r="Y9" s="3" t="n">
        <f aca="false">IFERROR(__xludf.dummyfunction("""COMPUTED_VALUE"""),4)</f>
        <v>4</v>
      </c>
      <c r="Z9" s="3"/>
      <c r="AA9" s="3"/>
      <c r="AB9" s="4" t="n">
        <f aca="false">IFERROR(__xludf.dummyfunction("""COMPUTED_VALUE"""),11.8)</f>
        <v>11.8</v>
      </c>
      <c r="AC9" s="4" t="n">
        <f aca="false">IFERROR(__xludf.dummyfunction("""COMPUTED_VALUE"""),57)</f>
        <v>57</v>
      </c>
      <c r="AD9" s="3" t="n">
        <f aca="false">IFERROR(__xludf.dummyfunction("""COMPUTED_VALUE"""),17)</f>
        <v>17</v>
      </c>
    </row>
    <row r="10" customFormat="false" ht="15.75" hidden="false" customHeight="false" outlineLevel="0" collapsed="false">
      <c r="A10" s="3" t="n">
        <f aca="false">IFERROR(__xludf.dummyfunction("""COMPUTED_VALUE"""),8)</f>
        <v>8</v>
      </c>
      <c r="B10" s="3" t="str">
        <f aca="false">IFERROR(__xludf.dummyfunction("""COMPUTED_VALUE"""),"Nia")</f>
        <v>Nia</v>
      </c>
      <c r="C10" s="3" t="str">
        <f aca="false">IFERROR(__xludf.dummyfunction("""COMPUTED_VALUE"""),"Smith")</f>
        <v>Smith</v>
      </c>
      <c r="D10" s="3" t="str">
        <f aca="false">IFERROR(__xludf.dummyfunction("""COMPUTED_VALUE"""),"DYN SG")</f>
        <v>DYN SG</v>
      </c>
      <c r="E10" s="3" t="str">
        <f aca="false">IFERROR(__xludf.dummyfunction("""COMPUTED_VALUE"""),"Grade 5")</f>
        <v>Grade 5</v>
      </c>
      <c r="F10" s="3" t="n">
        <f aca="false">IFERROR(__xludf.dummyfunction("""COMPUTED_VALUE"""),4)</f>
        <v>4</v>
      </c>
      <c r="G10" s="3"/>
      <c r="H10" s="3"/>
      <c r="I10" s="3" t="n">
        <f aca="false">IFERROR(__xludf.dummyfunction("""COMPUTED_VALUE"""),4)</f>
        <v>4</v>
      </c>
      <c r="J10" s="3"/>
      <c r="K10" s="3"/>
      <c r="L10" s="4" t="n">
        <f aca="false">IFERROR(__xludf.dummyfunction("""COMPUTED_VALUE"""),12)</f>
        <v>12</v>
      </c>
      <c r="M10" s="3" t="n">
        <f aca="false">IFERROR(__xludf.dummyfunction("""COMPUTED_VALUE"""),4)</f>
        <v>4</v>
      </c>
      <c r="N10" s="3"/>
      <c r="O10" s="3"/>
      <c r="P10" s="4" t="n">
        <f aca="false">IFERROR(__xludf.dummyfunction("""COMPUTED_VALUE"""),10.65)</f>
        <v>10.65</v>
      </c>
      <c r="Q10" s="3" t="n">
        <f aca="false">IFERROR(__xludf.dummyfunction("""COMPUTED_VALUE"""),4)</f>
        <v>4</v>
      </c>
      <c r="R10" s="3"/>
      <c r="S10" s="3" t="n">
        <f aca="false">IFERROR(__xludf.dummyfunction("""COMPUTED_VALUE"""),0.5)</f>
        <v>0.5</v>
      </c>
      <c r="T10" s="4" t="n">
        <f aca="false">IFERROR(__xludf.dummyfunction("""COMPUTED_VALUE"""),10.75)</f>
        <v>10.75</v>
      </c>
      <c r="U10" s="3" t="n">
        <f aca="false">IFERROR(__xludf.dummyfunction("""COMPUTED_VALUE"""),4)</f>
        <v>4</v>
      </c>
      <c r="V10" s="3"/>
      <c r="W10" s="3"/>
      <c r="X10" s="4" t="n">
        <f aca="false">IFERROR(__xludf.dummyfunction("""COMPUTED_VALUE"""),11.05)</f>
        <v>11.05</v>
      </c>
      <c r="Y10" s="3" t="n">
        <f aca="false">IFERROR(__xludf.dummyfunction("""COMPUTED_VALUE"""),2.5)</f>
        <v>2.5</v>
      </c>
      <c r="Z10" s="3"/>
      <c r="AA10" s="3"/>
      <c r="AB10" s="4" t="n">
        <f aca="false">IFERROR(__xludf.dummyfunction("""COMPUTED_VALUE"""),9.9)</f>
        <v>9.9</v>
      </c>
      <c r="AC10" s="4" t="n">
        <f aca="false">IFERROR(__xludf.dummyfunction("""COMPUTED_VALUE"""),54.35)</f>
        <v>54.35</v>
      </c>
      <c r="AD10" s="3" t="n">
        <f aca="false">IFERROR(__xludf.dummyfunction("""COMPUTED_VALUE"""),25)</f>
        <v>25</v>
      </c>
    </row>
    <row r="11" customFormat="false" ht="15.75" hidden="false" customHeight="false" outlineLevel="0" collapsed="false">
      <c r="A11" s="3" t="n">
        <f aca="false">IFERROR(__xludf.dummyfunction("""COMPUTED_VALUE"""),9)</f>
        <v>9</v>
      </c>
      <c r="B11" s="3" t="str">
        <f aca="false">IFERROR(__xludf.dummyfunction("""COMPUTED_VALUE"""),"Felicity")</f>
        <v>Felicity</v>
      </c>
      <c r="C11" s="3" t="str">
        <f aca="false">IFERROR(__xludf.dummyfunction("""COMPUTED_VALUE"""),"Upson")</f>
        <v>Upson</v>
      </c>
      <c r="D11" s="3" t="str">
        <f aca="false">IFERROR(__xludf.dummyfunction("""COMPUTED_VALUE"""),"DYN SG")</f>
        <v>DYN SG</v>
      </c>
      <c r="E11" s="3" t="str">
        <f aca="false">IFERROR(__xludf.dummyfunction("""COMPUTED_VALUE"""),"Grade 5")</f>
        <v>Grade 5</v>
      </c>
      <c r="F11" s="3" t="n">
        <f aca="false">IFERROR(__xludf.dummyfunction("""COMPUTED_VALUE"""),4)</f>
        <v>4</v>
      </c>
      <c r="G11" s="3"/>
      <c r="H11" s="3"/>
      <c r="I11" s="3" t="n">
        <f aca="false">IFERROR(__xludf.dummyfunction("""COMPUTED_VALUE"""),4)</f>
        <v>4</v>
      </c>
      <c r="J11" s="3"/>
      <c r="K11" s="3"/>
      <c r="L11" s="4" t="n">
        <f aca="false">IFERROR(__xludf.dummyfunction("""COMPUTED_VALUE"""),12.6)</f>
        <v>12.6</v>
      </c>
      <c r="M11" s="3" t="n">
        <f aca="false">IFERROR(__xludf.dummyfunction("""COMPUTED_VALUE"""),4)</f>
        <v>4</v>
      </c>
      <c r="N11" s="3"/>
      <c r="O11" s="3"/>
      <c r="P11" s="4" t="n">
        <f aca="false">IFERROR(__xludf.dummyfunction("""COMPUTED_VALUE"""),10.7)</f>
        <v>10.7</v>
      </c>
      <c r="Q11" s="3" t="n">
        <f aca="false">IFERROR(__xludf.dummyfunction("""COMPUTED_VALUE"""),4)</f>
        <v>4</v>
      </c>
      <c r="R11" s="3"/>
      <c r="S11" s="3"/>
      <c r="T11" s="4" t="n">
        <f aca="false">IFERROR(__xludf.dummyfunction("""COMPUTED_VALUE"""),11.4)</f>
        <v>11.4</v>
      </c>
      <c r="U11" s="3" t="n">
        <f aca="false">IFERROR(__xludf.dummyfunction("""COMPUTED_VALUE"""),4)</f>
        <v>4</v>
      </c>
      <c r="V11" s="3"/>
      <c r="W11" s="3"/>
      <c r="X11" s="4" t="n">
        <f aca="false">IFERROR(__xludf.dummyfunction("""COMPUTED_VALUE"""),11.5)</f>
        <v>11.5</v>
      </c>
      <c r="Y11" s="3" t="n">
        <f aca="false">IFERROR(__xludf.dummyfunction("""COMPUTED_VALUE"""),1)</f>
        <v>1</v>
      </c>
      <c r="Z11" s="3"/>
      <c r="AA11" s="3"/>
      <c r="AB11" s="4" t="n">
        <f aca="false">IFERROR(__xludf.dummyfunction("""COMPUTED_VALUE"""),7.6)</f>
        <v>7.6</v>
      </c>
      <c r="AC11" s="4" t="n">
        <f aca="false">IFERROR(__xludf.dummyfunction("""COMPUTED_VALUE"""),53.8)</f>
        <v>53.8</v>
      </c>
      <c r="AD11" s="3" t="n">
        <f aca="false">IFERROR(__xludf.dummyfunction("""COMPUTED_VALUE"""),30)</f>
        <v>30</v>
      </c>
    </row>
    <row r="12" customFormat="false" ht="15.75" hidden="false" customHeight="false" outlineLevel="0" collapsed="false">
      <c r="A12" s="3" t="n">
        <f aca="false">IFERROR(__xludf.dummyfunction("""COMPUTED_VALUE"""),10)</f>
        <v>10</v>
      </c>
      <c r="B12" s="3" t="str">
        <f aca="false">IFERROR(__xludf.dummyfunction("""COMPUTED_VALUE"""),"Demi-Rae")</f>
        <v>Demi-Rae</v>
      </c>
      <c r="C12" s="3" t="str">
        <f aca="false">IFERROR(__xludf.dummyfunction("""COMPUTED_VALUE"""),"Vokes")</f>
        <v>Vokes</v>
      </c>
      <c r="D12" s="3" t="str">
        <f aca="false">IFERROR(__xludf.dummyfunction("""COMPUTED_VALUE"""),"DYN SG")</f>
        <v>DYN SG</v>
      </c>
      <c r="E12" s="3" t="str">
        <f aca="false">IFERROR(__xludf.dummyfunction("""COMPUTED_VALUE"""),"Grade 5")</f>
        <v>Grade 5</v>
      </c>
      <c r="F12" s="3" t="n">
        <f aca="false">IFERROR(__xludf.dummyfunction("""COMPUTED_VALUE"""),4)</f>
        <v>4</v>
      </c>
      <c r="G12" s="3"/>
      <c r="H12" s="3"/>
      <c r="I12" s="3" t="n">
        <f aca="false">IFERROR(__xludf.dummyfunction("""COMPUTED_VALUE"""),4)</f>
        <v>4</v>
      </c>
      <c r="J12" s="3"/>
      <c r="K12" s="3"/>
      <c r="L12" s="4" t="n">
        <f aca="false">IFERROR(__xludf.dummyfunction("""COMPUTED_VALUE"""),12.2)</f>
        <v>12.2</v>
      </c>
      <c r="M12" s="3" t="n">
        <f aca="false">IFERROR(__xludf.dummyfunction("""COMPUTED_VALUE"""),4)</f>
        <v>4</v>
      </c>
      <c r="N12" s="3"/>
      <c r="O12" s="3"/>
      <c r="P12" s="4" t="n">
        <f aca="false">IFERROR(__xludf.dummyfunction("""COMPUTED_VALUE"""),8.1)</f>
        <v>8.1</v>
      </c>
      <c r="Q12" s="3" t="n">
        <f aca="false">IFERROR(__xludf.dummyfunction("""COMPUTED_VALUE"""),3.5)</f>
        <v>3.5</v>
      </c>
      <c r="R12" s="3"/>
      <c r="S12" s="3"/>
      <c r="T12" s="4" t="n">
        <f aca="false">IFERROR(__xludf.dummyfunction("""COMPUTED_VALUE"""),10.1)</f>
        <v>10.1</v>
      </c>
      <c r="U12" s="3" t="n">
        <f aca="false">IFERROR(__xludf.dummyfunction("""COMPUTED_VALUE"""),4)</f>
        <v>4</v>
      </c>
      <c r="V12" s="3"/>
      <c r="W12" s="3"/>
      <c r="X12" s="4" t="n">
        <f aca="false">IFERROR(__xludf.dummyfunction("""COMPUTED_VALUE"""),11.35)</f>
        <v>11.35</v>
      </c>
      <c r="Y12" s="3" t="n">
        <f aca="false">IFERROR(__xludf.dummyfunction("""COMPUTED_VALUE"""),3)</f>
        <v>3</v>
      </c>
      <c r="Z12" s="3"/>
      <c r="AA12" s="3"/>
      <c r="AB12" s="4" t="n">
        <f aca="false">IFERROR(__xludf.dummyfunction("""COMPUTED_VALUE"""),9.7)</f>
        <v>9.7</v>
      </c>
      <c r="AC12" s="4" t="n">
        <f aca="false">IFERROR(__xludf.dummyfunction("""COMPUTED_VALUE"""),51.45)</f>
        <v>51.45</v>
      </c>
      <c r="AD12" s="3" t="n">
        <f aca="false">IFERROR(__xludf.dummyfunction("""COMPUTED_VALUE"""),35)</f>
        <v>35</v>
      </c>
    </row>
    <row r="13" customFormat="false" ht="15.75" hidden="false" customHeight="false" outlineLevel="0" collapsed="false">
      <c r="A13" s="3" t="n">
        <f aca="false">IFERROR(__xludf.dummyfunction("""COMPUTED_VALUE"""),11)</f>
        <v>11</v>
      </c>
      <c r="B13" s="3" t="str">
        <f aca="false">IFERROR(__xludf.dummyfunction("""COMPUTED_VALUE"""),"Annabelle")</f>
        <v>Annabelle</v>
      </c>
      <c r="C13" s="3" t="str">
        <f aca="false">IFERROR(__xludf.dummyfunction("""COMPUTED_VALUE"""),"Kemp")</f>
        <v>Kemp</v>
      </c>
      <c r="D13" s="3" t="str">
        <f aca="false">IFERROR(__xludf.dummyfunction("""COMPUTED_VALUE"""),"DYN SG")</f>
        <v>DYN SG</v>
      </c>
      <c r="E13" s="3" t="str">
        <f aca="false">IFERROR(__xludf.dummyfunction("""COMPUTED_VALUE"""),"Grade 5")</f>
        <v>Grade 5</v>
      </c>
      <c r="F13" s="3" t="n">
        <f aca="false">IFERROR(__xludf.dummyfunction("""COMPUTED_VALUE"""),4)</f>
        <v>4</v>
      </c>
      <c r="G13" s="3"/>
      <c r="H13" s="3"/>
      <c r="I13" s="3" t="n">
        <f aca="false">IFERROR(__xludf.dummyfunction("""COMPUTED_VALUE"""),4)</f>
        <v>4</v>
      </c>
      <c r="J13" s="3"/>
      <c r="K13" s="3"/>
      <c r="L13" s="4" t="n">
        <f aca="false">IFERROR(__xludf.dummyfunction("""COMPUTED_VALUE"""),12.25)</f>
        <v>12.25</v>
      </c>
      <c r="M13" s="3" t="n">
        <f aca="false">IFERROR(__xludf.dummyfunction("""COMPUTED_VALUE"""),4)</f>
        <v>4</v>
      </c>
      <c r="N13" s="3"/>
      <c r="O13" s="3"/>
      <c r="P13" s="4" t="n">
        <f aca="false">IFERROR(__xludf.dummyfunction("""COMPUTED_VALUE"""),11.3)</f>
        <v>11.3</v>
      </c>
      <c r="Q13" s="3" t="n">
        <f aca="false">IFERROR(__xludf.dummyfunction("""COMPUTED_VALUE"""),4)</f>
        <v>4</v>
      </c>
      <c r="R13" s="3"/>
      <c r="S13" s="3"/>
      <c r="T13" s="4" t="n">
        <f aca="false">IFERROR(__xludf.dummyfunction("""COMPUTED_VALUE"""),11.8)</f>
        <v>11.8</v>
      </c>
      <c r="U13" s="3" t="n">
        <f aca="false">IFERROR(__xludf.dummyfunction("""COMPUTED_VALUE"""),4)</f>
        <v>4</v>
      </c>
      <c r="V13" s="3"/>
      <c r="W13" s="3"/>
      <c r="X13" s="4" t="n">
        <f aca="false">IFERROR(__xludf.dummyfunction("""COMPUTED_VALUE"""),11.9)</f>
        <v>11.9</v>
      </c>
      <c r="Y13" s="3" t="n">
        <f aca="false">IFERROR(__xludf.dummyfunction("""COMPUTED_VALUE"""),2.5)</f>
        <v>2.5</v>
      </c>
      <c r="Z13" s="3"/>
      <c r="AA13" s="3"/>
      <c r="AB13" s="4" t="n">
        <f aca="false">IFERROR(__xludf.dummyfunction("""COMPUTED_VALUE"""),10.15)</f>
        <v>10.15</v>
      </c>
      <c r="AC13" s="4" t="n">
        <f aca="false">IFERROR(__xludf.dummyfunction("""COMPUTED_VALUE"""),57.4)</f>
        <v>57.4</v>
      </c>
      <c r="AD13" s="3" t="n">
        <f aca="false">IFERROR(__xludf.dummyfunction("""COMPUTED_VALUE"""),13)</f>
        <v>13</v>
      </c>
    </row>
    <row r="14" customFormat="false" ht="15.75" hidden="false" customHeight="false" outlineLevel="0" collapsed="false">
      <c r="A14" s="3" t="n">
        <f aca="false">IFERROR(__xludf.dummyfunction("""COMPUTED_VALUE"""),12)</f>
        <v>12</v>
      </c>
      <c r="B14" s="3" t="str">
        <f aca="false">IFERROR(__xludf.dummyfunction("""COMPUTED_VALUE"""),"Jessica Alice Lucia")</f>
        <v>Jessica Alice Lucia</v>
      </c>
      <c r="C14" s="3" t="str">
        <f aca="false">IFERROR(__xludf.dummyfunction("""COMPUTED_VALUE"""),"Willoughby")</f>
        <v>Willoughby</v>
      </c>
      <c r="D14" s="3" t="str">
        <f aca="false">IFERROR(__xludf.dummyfunction("""COMPUTED_VALUE"""),"FLEX")</f>
        <v>FLEX</v>
      </c>
      <c r="E14" s="3" t="str">
        <f aca="false">IFERROR(__xludf.dummyfunction("""COMPUTED_VALUE"""),"Grade 5")</f>
        <v>Grade 5</v>
      </c>
      <c r="F14" s="3" t="n">
        <f aca="false">IFERROR(__xludf.dummyfunction("""COMPUTED_VALUE"""),4)</f>
        <v>4</v>
      </c>
      <c r="G14" s="3"/>
      <c r="H14" s="3"/>
      <c r="I14" s="3" t="n">
        <f aca="false">IFERROR(__xludf.dummyfunction("""COMPUTED_VALUE"""),4)</f>
        <v>4</v>
      </c>
      <c r="J14" s="3"/>
      <c r="K14" s="3"/>
      <c r="L14" s="4" t="n">
        <f aca="false">IFERROR(__xludf.dummyfunction("""COMPUTED_VALUE"""),12)</f>
        <v>12</v>
      </c>
      <c r="M14" s="3" t="n">
        <f aca="false">IFERROR(__xludf.dummyfunction("""COMPUTED_VALUE"""),4)</f>
        <v>4</v>
      </c>
      <c r="N14" s="3"/>
      <c r="O14" s="3"/>
      <c r="P14" s="4" t="n">
        <f aca="false">IFERROR(__xludf.dummyfunction("""COMPUTED_VALUE"""),11.95)</f>
        <v>11.95</v>
      </c>
      <c r="Q14" s="3" t="n">
        <f aca="false">IFERROR(__xludf.dummyfunction("""COMPUTED_VALUE"""),4)</f>
        <v>4</v>
      </c>
      <c r="R14" s="3"/>
      <c r="S14" s="3"/>
      <c r="T14" s="4" t="n">
        <f aca="false">IFERROR(__xludf.dummyfunction("""COMPUTED_VALUE"""),11.95)</f>
        <v>11.95</v>
      </c>
      <c r="U14" s="3" t="n">
        <f aca="false">IFERROR(__xludf.dummyfunction("""COMPUTED_VALUE"""),4)</f>
        <v>4</v>
      </c>
      <c r="V14" s="3"/>
      <c r="W14" s="3"/>
      <c r="X14" s="4" t="n">
        <f aca="false">IFERROR(__xludf.dummyfunction("""COMPUTED_VALUE"""),11)</f>
        <v>11</v>
      </c>
      <c r="Y14" s="3" t="n">
        <f aca="false">IFERROR(__xludf.dummyfunction("""COMPUTED_VALUE"""),2.5)</f>
        <v>2.5</v>
      </c>
      <c r="Z14" s="3"/>
      <c r="AA14" s="3"/>
      <c r="AB14" s="4" t="n">
        <f aca="false">IFERROR(__xludf.dummyfunction("""COMPUTED_VALUE"""),10.3)</f>
        <v>10.3</v>
      </c>
      <c r="AC14" s="4" t="n">
        <f aca="false">IFERROR(__xludf.dummyfunction("""COMPUTED_VALUE"""),57.2)</f>
        <v>57.2</v>
      </c>
      <c r="AD14" s="3" t="n">
        <f aca="false">IFERROR(__xludf.dummyfunction("""COMPUTED_VALUE"""),16)</f>
        <v>16</v>
      </c>
    </row>
    <row r="15" customFormat="false" ht="15.75" hidden="false" customHeight="false" outlineLevel="0" collapsed="false">
      <c r="A15" s="3" t="n">
        <f aca="false">IFERROR(__xludf.dummyfunction("""COMPUTED_VALUE"""),13)</f>
        <v>13</v>
      </c>
      <c r="B15" s="3" t="str">
        <f aca="false">IFERROR(__xludf.dummyfunction("""COMPUTED_VALUE"""),"Isabella Rose")</f>
        <v>Isabella Rose</v>
      </c>
      <c r="C15" s="3" t="str">
        <f aca="false">IFERROR(__xludf.dummyfunction("""COMPUTED_VALUE"""),"Berners")</f>
        <v>Berners</v>
      </c>
      <c r="D15" s="3" t="str">
        <f aca="false">IFERROR(__xludf.dummyfunction("""COMPUTED_VALUE"""),"LEGA")</f>
        <v>LEGA</v>
      </c>
      <c r="E15" s="3" t="str">
        <f aca="false">IFERROR(__xludf.dummyfunction("""COMPUTED_VALUE"""),"Grade 5")</f>
        <v>Grade 5</v>
      </c>
      <c r="F15" s="3" t="n">
        <f aca="false">IFERROR(__xludf.dummyfunction("""COMPUTED_VALUE"""),4)</f>
        <v>4</v>
      </c>
      <c r="G15" s="3"/>
      <c r="H15" s="3"/>
      <c r="I15" s="3" t="n">
        <f aca="false">IFERROR(__xludf.dummyfunction("""COMPUTED_VALUE"""),4)</f>
        <v>4</v>
      </c>
      <c r="J15" s="3"/>
      <c r="K15" s="3"/>
      <c r="L15" s="4" t="n">
        <f aca="false">IFERROR(__xludf.dummyfunction("""COMPUTED_VALUE"""),12)</f>
        <v>12</v>
      </c>
      <c r="M15" s="3" t="n">
        <f aca="false">IFERROR(__xludf.dummyfunction("""COMPUTED_VALUE"""),4)</f>
        <v>4</v>
      </c>
      <c r="N15" s="3"/>
      <c r="O15" s="3"/>
      <c r="P15" s="4" t="n">
        <f aca="false">IFERROR(__xludf.dummyfunction("""COMPUTED_VALUE"""),10.8)</f>
        <v>10.8</v>
      </c>
      <c r="Q15" s="3" t="n">
        <f aca="false">IFERROR(__xludf.dummyfunction("""COMPUTED_VALUE"""),3.5)</f>
        <v>3.5</v>
      </c>
      <c r="R15" s="3"/>
      <c r="S15" s="3" t="n">
        <f aca="false">IFERROR(__xludf.dummyfunction("""COMPUTED_VALUE"""),2.5)</f>
        <v>2.5</v>
      </c>
      <c r="T15" s="4" t="n">
        <f aca="false">IFERROR(__xludf.dummyfunction("""COMPUTED_VALUE"""),6.7)</f>
        <v>6.7</v>
      </c>
      <c r="U15" s="3" t="n">
        <f aca="false">IFERROR(__xludf.dummyfunction("""COMPUTED_VALUE"""),3.5)</f>
        <v>3.5</v>
      </c>
      <c r="V15" s="3"/>
      <c r="W15" s="3"/>
      <c r="X15" s="4" t="n">
        <f aca="false">IFERROR(__xludf.dummyfunction("""COMPUTED_VALUE"""),11.25)</f>
        <v>11.25</v>
      </c>
      <c r="Y15" s="3" t="n">
        <f aca="false">IFERROR(__xludf.dummyfunction("""COMPUTED_VALUE"""),4)</f>
        <v>4</v>
      </c>
      <c r="Z15" s="3"/>
      <c r="AA15" s="3"/>
      <c r="AB15" s="4" t="n">
        <f aca="false">IFERROR(__xludf.dummyfunction("""COMPUTED_VALUE"""),13.15)</f>
        <v>13.15</v>
      </c>
      <c r="AC15" s="4" t="n">
        <f aca="false">IFERROR(__xludf.dummyfunction("""COMPUTED_VALUE"""),53.9)</f>
        <v>53.9</v>
      </c>
      <c r="AD15" s="3" t="n">
        <f aca="false">IFERROR(__xludf.dummyfunction("""COMPUTED_VALUE"""),28)</f>
        <v>28</v>
      </c>
    </row>
    <row r="16" customFormat="false" ht="15.75" hidden="false" customHeight="false" outlineLevel="0" collapsed="false">
      <c r="A16" s="3" t="n">
        <f aca="false">IFERROR(__xludf.dummyfunction("""COMPUTED_VALUE"""),14)</f>
        <v>14</v>
      </c>
      <c r="B16" s="3" t="str">
        <f aca="false">IFERROR(__xludf.dummyfunction("""COMPUTED_VALUE"""),"Indiana")</f>
        <v>Indiana</v>
      </c>
      <c r="C16" s="3" t="str">
        <f aca="false">IFERROR(__xludf.dummyfunction("""COMPUTED_VALUE"""),"Simpkins")</f>
        <v>Simpkins</v>
      </c>
      <c r="D16" s="3" t="str">
        <f aca="false">IFERROR(__xludf.dummyfunction("""COMPUTED_VALUE"""),"LEGA")</f>
        <v>LEGA</v>
      </c>
      <c r="E16" s="3" t="str">
        <f aca="false">IFERROR(__xludf.dummyfunction("""COMPUTED_VALUE"""),"Grade 5")</f>
        <v>Grade 5</v>
      </c>
      <c r="F16" s="3" t="n">
        <f aca="false">IFERROR(__xludf.dummyfunction("""COMPUTED_VALUE"""),4)</f>
        <v>4</v>
      </c>
      <c r="G16" s="3"/>
      <c r="H16" s="3"/>
      <c r="I16" s="3" t="n">
        <f aca="false">IFERROR(__xludf.dummyfunction("""COMPUTED_VALUE"""),4)</f>
        <v>4</v>
      </c>
      <c r="J16" s="3"/>
      <c r="K16" s="3"/>
      <c r="L16" s="4" t="n">
        <f aca="false">IFERROR(__xludf.dummyfunction("""COMPUTED_VALUE"""),12.15)</f>
        <v>12.15</v>
      </c>
      <c r="M16" s="3" t="n">
        <f aca="false">IFERROR(__xludf.dummyfunction("""COMPUTED_VALUE"""),4)</f>
        <v>4</v>
      </c>
      <c r="N16" s="3"/>
      <c r="O16" s="3"/>
      <c r="P16" s="4" t="n">
        <f aca="false">IFERROR(__xludf.dummyfunction("""COMPUTED_VALUE"""),10.9)</f>
        <v>10.9</v>
      </c>
      <c r="Q16" s="3" t="n">
        <f aca="false">IFERROR(__xludf.dummyfunction("""COMPUTED_VALUE"""),4)</f>
        <v>4</v>
      </c>
      <c r="R16" s="3"/>
      <c r="S16" s="3"/>
      <c r="T16" s="4" t="n">
        <f aca="false">IFERROR(__xludf.dummyfunction("""COMPUTED_VALUE"""),11.7)</f>
        <v>11.7</v>
      </c>
      <c r="U16" s="3" t="n">
        <f aca="false">IFERROR(__xludf.dummyfunction("""COMPUTED_VALUE"""),4)</f>
        <v>4</v>
      </c>
      <c r="V16" s="3"/>
      <c r="W16" s="3"/>
      <c r="X16" s="4" t="n">
        <f aca="false">IFERROR(__xludf.dummyfunction("""COMPUTED_VALUE"""),11.55)</f>
        <v>11.55</v>
      </c>
      <c r="Y16" s="3" t="n">
        <f aca="false">IFERROR(__xludf.dummyfunction("""COMPUTED_VALUE"""),3.5)</f>
        <v>3.5</v>
      </c>
      <c r="Z16" s="3"/>
      <c r="AA16" s="3"/>
      <c r="AB16" s="4" t="n">
        <f aca="false">IFERROR(__xludf.dummyfunction("""COMPUTED_VALUE"""),11)</f>
        <v>11</v>
      </c>
      <c r="AC16" s="4" t="n">
        <f aca="false">IFERROR(__xludf.dummyfunction("""COMPUTED_VALUE"""),57.3)</f>
        <v>57.3</v>
      </c>
      <c r="AD16" s="3" t="n">
        <f aca="false">IFERROR(__xludf.dummyfunction("""COMPUTED_VALUE"""),15)</f>
        <v>15</v>
      </c>
    </row>
    <row r="17" customFormat="false" ht="15.75" hidden="false" customHeight="false" outlineLevel="0" collapsed="false">
      <c r="A17" s="3" t="n">
        <f aca="false">IFERROR(__xludf.dummyfunction("""COMPUTED_VALUE"""),15)</f>
        <v>15</v>
      </c>
      <c r="B17" s="3" t="str">
        <f aca="false">IFERROR(__xludf.dummyfunction("""COMPUTED_VALUE"""),"Jessica")</f>
        <v>Jessica</v>
      </c>
      <c r="C17" s="3" t="str">
        <f aca="false">IFERROR(__xludf.dummyfunction("""COMPUTED_VALUE"""),"Taylor")</f>
        <v>Taylor</v>
      </c>
      <c r="D17" s="3" t="str">
        <f aca="false">IFERROR(__xludf.dummyfunction("""COMPUTED_VALUE"""),"LEGA")</f>
        <v>LEGA</v>
      </c>
      <c r="E17" s="3" t="str">
        <f aca="false">IFERROR(__xludf.dummyfunction("""COMPUTED_VALUE"""),"Grade 5")</f>
        <v>Grade 5</v>
      </c>
      <c r="F17" s="3" t="n">
        <f aca="false">IFERROR(__xludf.dummyfunction("""COMPUTED_VALUE"""),4)</f>
        <v>4</v>
      </c>
      <c r="G17" s="3"/>
      <c r="H17" s="3"/>
      <c r="I17" s="3" t="n">
        <f aca="false">IFERROR(__xludf.dummyfunction("""COMPUTED_VALUE"""),4)</f>
        <v>4</v>
      </c>
      <c r="J17" s="3"/>
      <c r="K17" s="3"/>
      <c r="L17" s="4" t="n">
        <f aca="false">IFERROR(__xludf.dummyfunction("""COMPUTED_VALUE"""),12.75)</f>
        <v>12.75</v>
      </c>
      <c r="M17" s="3" t="n">
        <f aca="false">IFERROR(__xludf.dummyfunction("""COMPUTED_VALUE"""),4)</f>
        <v>4</v>
      </c>
      <c r="N17" s="3"/>
      <c r="O17" s="3"/>
      <c r="P17" s="4" t="n">
        <f aca="false">IFERROR(__xludf.dummyfunction("""COMPUTED_VALUE"""),11.15)</f>
        <v>11.15</v>
      </c>
      <c r="Q17" s="3" t="n">
        <f aca="false">IFERROR(__xludf.dummyfunction("""COMPUTED_VALUE"""),4)</f>
        <v>4</v>
      </c>
      <c r="R17" s="3"/>
      <c r="S17" s="3"/>
      <c r="T17" s="4" t="n">
        <f aca="false">IFERROR(__xludf.dummyfunction("""COMPUTED_VALUE"""),11.65)</f>
        <v>11.65</v>
      </c>
      <c r="U17" s="3" t="n">
        <f aca="false">IFERROR(__xludf.dummyfunction("""COMPUTED_VALUE"""),4)</f>
        <v>4</v>
      </c>
      <c r="V17" s="3"/>
      <c r="W17" s="3"/>
      <c r="X17" s="4" t="n">
        <f aca="false">IFERROR(__xludf.dummyfunction("""COMPUTED_VALUE"""),11.85)</f>
        <v>11.85</v>
      </c>
      <c r="Y17" s="3" t="n">
        <f aca="false">IFERROR(__xludf.dummyfunction("""COMPUTED_VALUE"""),3)</f>
        <v>3</v>
      </c>
      <c r="Z17" s="3"/>
      <c r="AA17" s="3"/>
      <c r="AB17" s="4" t="n">
        <f aca="false">IFERROR(__xludf.dummyfunction("""COMPUTED_VALUE"""),11.45)</f>
        <v>11.45</v>
      </c>
      <c r="AC17" s="4" t="n">
        <f aca="false">IFERROR(__xludf.dummyfunction("""COMPUTED_VALUE"""),58.85)</f>
        <v>58.85</v>
      </c>
      <c r="AD17" s="3" t="n">
        <f aca="false">IFERROR(__xludf.dummyfunction("""COMPUTED_VALUE"""),9)</f>
        <v>9</v>
      </c>
    </row>
    <row r="18" customFormat="false" ht="15.75" hidden="false" customHeight="false" outlineLevel="0" collapsed="false">
      <c r="A18" s="3" t="n">
        <f aca="false">IFERROR(__xludf.dummyfunction("""COMPUTED_VALUE"""),16)</f>
        <v>16</v>
      </c>
      <c r="B18" s="3" t="str">
        <f aca="false">IFERROR(__xludf.dummyfunction("""COMPUTED_VALUE"""),"Georgia-Rose")</f>
        <v>Georgia-Rose</v>
      </c>
      <c r="C18" s="3" t="str">
        <f aca="false">IFERROR(__xludf.dummyfunction("""COMPUTED_VALUE"""),"Parnell")</f>
        <v>Parnell</v>
      </c>
      <c r="D18" s="3" t="str">
        <f aca="false">IFERROR(__xludf.dummyfunction("""COMPUTED_VALUE"""),"PGC")</f>
        <v>PGC</v>
      </c>
      <c r="E18" s="3" t="str">
        <f aca="false">IFERROR(__xludf.dummyfunction("""COMPUTED_VALUE"""),"Grade 5")</f>
        <v>Grade 5</v>
      </c>
      <c r="F18" s="3" t="n">
        <f aca="false">IFERROR(__xludf.dummyfunction("""COMPUTED_VALUE"""),4)</f>
        <v>4</v>
      </c>
      <c r="G18" s="3"/>
      <c r="H18" s="3"/>
      <c r="I18" s="3" t="n">
        <f aca="false">IFERROR(__xludf.dummyfunction("""COMPUTED_VALUE"""),4)</f>
        <v>4</v>
      </c>
      <c r="J18" s="3"/>
      <c r="K18" s="3"/>
      <c r="L18" s="4" t="n">
        <f aca="false">IFERROR(__xludf.dummyfunction("""COMPUTED_VALUE"""),12.75)</f>
        <v>12.75</v>
      </c>
      <c r="M18" s="3" t="n">
        <f aca="false">IFERROR(__xludf.dummyfunction("""COMPUTED_VALUE"""),4)</f>
        <v>4</v>
      </c>
      <c r="N18" s="3"/>
      <c r="O18" s="3"/>
      <c r="P18" s="4" t="n">
        <f aca="false">IFERROR(__xludf.dummyfunction("""COMPUTED_VALUE"""),12.8)</f>
        <v>12.8</v>
      </c>
      <c r="Q18" s="3" t="n">
        <f aca="false">IFERROR(__xludf.dummyfunction("""COMPUTED_VALUE"""),4)</f>
        <v>4</v>
      </c>
      <c r="R18" s="3"/>
      <c r="S18" s="3"/>
      <c r="T18" s="4" t="n">
        <f aca="false">IFERROR(__xludf.dummyfunction("""COMPUTED_VALUE"""),12.65)</f>
        <v>12.65</v>
      </c>
      <c r="U18" s="3" t="n">
        <f aca="false">IFERROR(__xludf.dummyfunction("""COMPUTED_VALUE"""),4)</f>
        <v>4</v>
      </c>
      <c r="V18" s="3"/>
      <c r="W18" s="3"/>
      <c r="X18" s="4" t="n">
        <f aca="false">IFERROR(__xludf.dummyfunction("""COMPUTED_VALUE"""),12.15)</f>
        <v>12.15</v>
      </c>
      <c r="Y18" s="3" t="n">
        <f aca="false">IFERROR(__xludf.dummyfunction("""COMPUTED_VALUE"""),3.5)</f>
        <v>3.5</v>
      </c>
      <c r="Z18" s="3"/>
      <c r="AA18" s="3"/>
      <c r="AB18" s="4" t="n">
        <f aca="false">IFERROR(__xludf.dummyfunction("""COMPUTED_VALUE"""),12.8)</f>
        <v>12.8</v>
      </c>
      <c r="AC18" s="4" t="n">
        <f aca="false">IFERROR(__xludf.dummyfunction("""COMPUTED_VALUE"""),63.15)</f>
        <v>63.15</v>
      </c>
      <c r="AD18" s="3" t="n">
        <f aca="false">IFERROR(__xludf.dummyfunction("""COMPUTED_VALUE"""),1)</f>
        <v>1</v>
      </c>
    </row>
    <row r="19" customFormat="false" ht="15.75" hidden="false" customHeight="false" outlineLevel="0" collapsed="false">
      <c r="A19" s="3" t="n">
        <f aca="false">IFERROR(__xludf.dummyfunction("""COMPUTED_VALUE"""),17)</f>
        <v>17</v>
      </c>
      <c r="B19" s="3" t="str">
        <f aca="false">IFERROR(__xludf.dummyfunction("""COMPUTED_VALUE"""),"Daisy")</f>
        <v>Daisy</v>
      </c>
      <c r="C19" s="3" t="str">
        <f aca="false">IFERROR(__xludf.dummyfunction("""COMPUTED_VALUE"""),"Troszok")</f>
        <v>Troszok</v>
      </c>
      <c r="D19" s="3" t="str">
        <f aca="false">IFERROR(__xludf.dummyfunction("""COMPUTED_VALUE"""),"PGC")</f>
        <v>PGC</v>
      </c>
      <c r="E19" s="3" t="str">
        <f aca="false">IFERROR(__xludf.dummyfunction("""COMPUTED_VALUE"""),"Grade 5")</f>
        <v>Grade 5</v>
      </c>
      <c r="F19" s="3" t="n">
        <f aca="false">IFERROR(__xludf.dummyfunction("""COMPUTED_VALUE"""),4)</f>
        <v>4</v>
      </c>
      <c r="G19" s="3"/>
      <c r="H19" s="3"/>
      <c r="I19" s="3" t="n">
        <f aca="false">IFERROR(__xludf.dummyfunction("""COMPUTED_VALUE"""),4)</f>
        <v>4</v>
      </c>
      <c r="J19" s="3"/>
      <c r="K19" s="3"/>
      <c r="L19" s="4" t="n">
        <f aca="false">IFERROR(__xludf.dummyfunction("""COMPUTED_VALUE"""),13.1)</f>
        <v>13.1</v>
      </c>
      <c r="M19" s="3" t="n">
        <f aca="false">IFERROR(__xludf.dummyfunction("""COMPUTED_VALUE"""),4)</f>
        <v>4</v>
      </c>
      <c r="N19" s="3"/>
      <c r="O19" s="3"/>
      <c r="P19" s="4" t="n">
        <f aca="false">IFERROR(__xludf.dummyfunction("""COMPUTED_VALUE"""),13.25)</f>
        <v>13.25</v>
      </c>
      <c r="Q19" s="3" t="n">
        <f aca="false">IFERROR(__xludf.dummyfunction("""COMPUTED_VALUE"""),4)</f>
        <v>4</v>
      </c>
      <c r="R19" s="3"/>
      <c r="S19" s="3"/>
      <c r="T19" s="4" t="n">
        <f aca="false">IFERROR(__xludf.dummyfunction("""COMPUTED_VALUE"""),12.2)</f>
        <v>12.2</v>
      </c>
      <c r="U19" s="3" t="n">
        <f aca="false">IFERROR(__xludf.dummyfunction("""COMPUTED_VALUE"""),4)</f>
        <v>4</v>
      </c>
      <c r="V19" s="3"/>
      <c r="W19" s="3"/>
      <c r="X19" s="4" t="n">
        <f aca="false">IFERROR(__xludf.dummyfunction("""COMPUTED_VALUE"""),12.25)</f>
        <v>12.25</v>
      </c>
      <c r="Y19" s="3" t="n">
        <f aca="false">IFERROR(__xludf.dummyfunction("""COMPUTED_VALUE"""),3)</f>
        <v>3</v>
      </c>
      <c r="Z19" s="3"/>
      <c r="AA19" s="3"/>
      <c r="AB19" s="4" t="n">
        <f aca="false">IFERROR(__xludf.dummyfunction("""COMPUTED_VALUE"""),11.2)</f>
        <v>11.2</v>
      </c>
      <c r="AC19" s="4" t="n">
        <f aca="false">IFERROR(__xludf.dummyfunction("""COMPUTED_VALUE"""),62)</f>
        <v>62</v>
      </c>
      <c r="AD19" s="3" t="n">
        <f aca="false">IFERROR(__xludf.dummyfunction("""COMPUTED_VALUE"""),4)</f>
        <v>4</v>
      </c>
    </row>
    <row r="20" customFormat="false" ht="15.75" hidden="false" customHeight="false" outlineLevel="0" collapsed="false">
      <c r="A20" s="3" t="n">
        <f aca="false">IFERROR(__xludf.dummyfunction("""COMPUTED_VALUE"""),29)</f>
        <v>29</v>
      </c>
      <c r="B20" s="3" t="str">
        <f aca="false">IFERROR(__xludf.dummyfunction("""COMPUTED_VALUE"""),"Georgia")</f>
        <v>Georgia</v>
      </c>
      <c r="C20" s="3" t="str">
        <f aca="false">IFERROR(__xludf.dummyfunction("""COMPUTED_VALUE"""),"Grant")</f>
        <v>Grant</v>
      </c>
      <c r="D20" s="3" t="str">
        <f aca="false">IFERROR(__xludf.dummyfunction("""COMPUTED_VALUE"""),"BAS GC")</f>
        <v>BAS GC</v>
      </c>
      <c r="E20" s="3" t="str">
        <f aca="false">IFERROR(__xludf.dummyfunction("""COMPUTED_VALUE"""),"Grade 5")</f>
        <v>Grade 5</v>
      </c>
      <c r="F20" s="3" t="n">
        <f aca="false">IFERROR(__xludf.dummyfunction("""COMPUTED_VALUE"""),4)</f>
        <v>4</v>
      </c>
      <c r="G20" s="3"/>
      <c r="H20" s="3"/>
      <c r="I20" s="3" t="n">
        <f aca="false">IFERROR(__xludf.dummyfunction("""COMPUTED_VALUE"""),4)</f>
        <v>4</v>
      </c>
      <c r="J20" s="3"/>
      <c r="K20" s="3"/>
      <c r="L20" s="4" t="n">
        <f aca="false">IFERROR(__xludf.dummyfunction("""COMPUTED_VALUE"""),12.55)</f>
        <v>12.55</v>
      </c>
      <c r="M20" s="3" t="n">
        <f aca="false">IFERROR(__xludf.dummyfunction("""COMPUTED_VALUE"""),4)</f>
        <v>4</v>
      </c>
      <c r="N20" s="3"/>
      <c r="O20" s="3"/>
      <c r="P20" s="4" t="n">
        <f aca="false">IFERROR(__xludf.dummyfunction("""COMPUTED_VALUE"""),12.05)</f>
        <v>12.05</v>
      </c>
      <c r="Q20" s="3" t="n">
        <f aca="false">IFERROR(__xludf.dummyfunction("""COMPUTED_VALUE"""),4)</f>
        <v>4</v>
      </c>
      <c r="R20" s="3"/>
      <c r="S20" s="3" t="n">
        <f aca="false">IFERROR(__xludf.dummyfunction("""COMPUTED_VALUE"""),0.5)</f>
        <v>0.5</v>
      </c>
      <c r="T20" s="4" t="n">
        <f aca="false">IFERROR(__xludf.dummyfunction("""COMPUTED_VALUE"""),11.15)</f>
        <v>11.15</v>
      </c>
      <c r="U20" s="3" t="n">
        <f aca="false">IFERROR(__xludf.dummyfunction("""COMPUTED_VALUE"""),4)</f>
        <v>4</v>
      </c>
      <c r="V20" s="3"/>
      <c r="W20" s="3" t="n">
        <f aca="false">IFERROR(__xludf.dummyfunction("""COMPUTED_VALUE"""),0.1)</f>
        <v>0.1</v>
      </c>
      <c r="X20" s="4" t="n">
        <f aca="false">IFERROR(__xludf.dummyfunction("""COMPUTED_VALUE"""),11.05)</f>
        <v>11.05</v>
      </c>
      <c r="Y20" s="3" t="n">
        <f aca="false">IFERROR(__xludf.dummyfunction("""COMPUTED_VALUE"""),3)</f>
        <v>3</v>
      </c>
      <c r="Z20" s="3"/>
      <c r="AA20" s="3"/>
      <c r="AB20" s="4" t="n">
        <f aca="false">IFERROR(__xludf.dummyfunction("""COMPUTED_VALUE"""),11.55)</f>
        <v>11.55</v>
      </c>
      <c r="AC20" s="4" t="n">
        <f aca="false">IFERROR(__xludf.dummyfunction("""COMPUTED_VALUE"""),58.35)</f>
        <v>58.35</v>
      </c>
      <c r="AD20" s="3" t="n">
        <f aca="false">IFERROR(__xludf.dummyfunction("""COMPUTED_VALUE"""),10)</f>
        <v>10</v>
      </c>
    </row>
    <row r="21" customFormat="false" ht="15.75" hidden="false" customHeight="false" outlineLevel="0" collapsed="false">
      <c r="A21" s="3" t="n">
        <f aca="false">IFERROR(__xludf.dummyfunction("""COMPUTED_VALUE"""),30)</f>
        <v>30</v>
      </c>
      <c r="B21" s="3" t="str">
        <f aca="false">IFERROR(__xludf.dummyfunction("""COMPUTED_VALUE"""),"Kaitlin")</f>
        <v>Kaitlin</v>
      </c>
      <c r="C21" s="3" t="str">
        <f aca="false">IFERROR(__xludf.dummyfunction("""COMPUTED_VALUE"""),"Fletcher")</f>
        <v>Fletcher</v>
      </c>
      <c r="D21" s="3" t="str">
        <f aca="false">IFERROR(__xludf.dummyfunction("""COMPUTED_VALUE"""),"BAS GC")</f>
        <v>BAS GC</v>
      </c>
      <c r="E21" s="3" t="str">
        <f aca="false">IFERROR(__xludf.dummyfunction("""COMPUTED_VALUE"""),"Grade 5")</f>
        <v>Grade 5</v>
      </c>
      <c r="F21" s="3" t="n">
        <f aca="false">IFERROR(__xludf.dummyfunction("""COMPUTED_VALUE"""),4)</f>
        <v>4</v>
      </c>
      <c r="G21" s="3"/>
      <c r="H21" s="3"/>
      <c r="I21" s="3" t="n">
        <f aca="false">IFERROR(__xludf.dummyfunction("""COMPUTED_VALUE"""),4)</f>
        <v>4</v>
      </c>
      <c r="J21" s="3"/>
      <c r="K21" s="3"/>
      <c r="L21" s="4" t="n">
        <f aca="false">IFERROR(__xludf.dummyfunction("""COMPUTED_VALUE"""),12.2)</f>
        <v>12.2</v>
      </c>
      <c r="M21" s="3" t="n">
        <f aca="false">IFERROR(__xludf.dummyfunction("""COMPUTED_VALUE"""),4)</f>
        <v>4</v>
      </c>
      <c r="N21" s="3"/>
      <c r="O21" s="3"/>
      <c r="P21" s="4" t="n">
        <f aca="false">IFERROR(__xludf.dummyfunction("""COMPUTED_VALUE"""),11.55)</f>
        <v>11.55</v>
      </c>
      <c r="Q21" s="3" t="n">
        <f aca="false">IFERROR(__xludf.dummyfunction("""COMPUTED_VALUE"""),3.5)</f>
        <v>3.5</v>
      </c>
      <c r="R21" s="3"/>
      <c r="S21" s="3" t="n">
        <f aca="false">IFERROR(__xludf.dummyfunction("""COMPUTED_VALUE"""),2.5)</f>
        <v>2.5</v>
      </c>
      <c r="T21" s="4" t="n">
        <f aca="false">IFERROR(__xludf.dummyfunction("""COMPUTED_VALUE"""),8.35)</f>
        <v>8.35</v>
      </c>
      <c r="U21" s="3" t="n">
        <f aca="false">IFERROR(__xludf.dummyfunction("""COMPUTED_VALUE"""),3.5)</f>
        <v>3.5</v>
      </c>
      <c r="V21" s="3"/>
      <c r="W21" s="3"/>
      <c r="X21" s="4" t="n">
        <f aca="false">IFERROR(__xludf.dummyfunction("""COMPUTED_VALUE"""),9.75)</f>
        <v>9.75</v>
      </c>
      <c r="Y21" s="3" t="n">
        <f aca="false">IFERROR(__xludf.dummyfunction("""COMPUTED_VALUE"""),4)</f>
        <v>4</v>
      </c>
      <c r="Z21" s="3"/>
      <c r="AA21" s="3"/>
      <c r="AB21" s="4" t="n">
        <f aca="false">IFERROR(__xludf.dummyfunction("""COMPUTED_VALUE"""),12.4)</f>
        <v>12.4</v>
      </c>
      <c r="AC21" s="4" t="n">
        <f aca="false">IFERROR(__xludf.dummyfunction("""COMPUTED_VALUE"""),54.25)</f>
        <v>54.25</v>
      </c>
      <c r="AD21" s="3" t="n">
        <f aca="false">IFERROR(__xludf.dummyfunction("""COMPUTED_VALUE"""),26)</f>
        <v>26</v>
      </c>
    </row>
    <row r="22" customFormat="false" ht="15.75" hidden="false" customHeight="false" outlineLevel="0" collapsed="false">
      <c r="A22" s="3" t="n">
        <f aca="false">IFERROR(__xludf.dummyfunction("""COMPUTED_VALUE"""),31)</f>
        <v>31</v>
      </c>
      <c r="B22" s="3" t="str">
        <f aca="false">IFERROR(__xludf.dummyfunction("""COMPUTED_VALUE"""),"Felicity")</f>
        <v>Felicity</v>
      </c>
      <c r="C22" s="3" t="str">
        <f aca="false">IFERROR(__xludf.dummyfunction("""COMPUTED_VALUE"""),"Squire")</f>
        <v>Squire</v>
      </c>
      <c r="D22" s="3" t="str">
        <f aca="false">IFERROR(__xludf.dummyfunction("""COMPUTED_VALUE"""),"BAS GC")</f>
        <v>BAS GC</v>
      </c>
      <c r="E22" s="3" t="str">
        <f aca="false">IFERROR(__xludf.dummyfunction("""COMPUTED_VALUE"""),"Grade 5")</f>
        <v>Grade 5</v>
      </c>
      <c r="F22" s="3" t="n">
        <f aca="false">IFERROR(__xludf.dummyfunction("""COMPUTED_VALUE"""),4)</f>
        <v>4</v>
      </c>
      <c r="G22" s="3"/>
      <c r="H22" s="3"/>
      <c r="I22" s="3" t="n">
        <f aca="false">IFERROR(__xludf.dummyfunction("""COMPUTED_VALUE"""),4)</f>
        <v>4</v>
      </c>
      <c r="J22" s="3"/>
      <c r="K22" s="3"/>
      <c r="L22" s="4" t="n">
        <f aca="false">IFERROR(__xludf.dummyfunction("""COMPUTED_VALUE"""),12)</f>
        <v>12</v>
      </c>
      <c r="M22" s="3" t="n">
        <f aca="false">IFERROR(__xludf.dummyfunction("""COMPUTED_VALUE"""),4)</f>
        <v>4</v>
      </c>
      <c r="N22" s="3"/>
      <c r="O22" s="3"/>
      <c r="P22" s="4" t="n">
        <f aca="false">IFERROR(__xludf.dummyfunction("""COMPUTED_VALUE"""),11)</f>
        <v>11</v>
      </c>
      <c r="Q22" s="3" t="n">
        <f aca="false">IFERROR(__xludf.dummyfunction("""COMPUTED_VALUE"""),4)</f>
        <v>4</v>
      </c>
      <c r="R22" s="3"/>
      <c r="S22" s="3" t="n">
        <f aca="false">IFERROR(__xludf.dummyfunction("""COMPUTED_VALUE"""),0.5)</f>
        <v>0.5</v>
      </c>
      <c r="T22" s="4" t="n">
        <f aca="false">IFERROR(__xludf.dummyfunction("""COMPUTED_VALUE"""),10.6)</f>
        <v>10.6</v>
      </c>
      <c r="U22" s="3" t="n">
        <f aca="false">IFERROR(__xludf.dummyfunction("""COMPUTED_VALUE"""),4)</f>
        <v>4</v>
      </c>
      <c r="V22" s="3"/>
      <c r="W22" s="3"/>
      <c r="X22" s="4" t="n">
        <f aca="false">IFERROR(__xludf.dummyfunction("""COMPUTED_VALUE"""),11.65)</f>
        <v>11.65</v>
      </c>
      <c r="Y22" s="3" t="n">
        <f aca="false">IFERROR(__xludf.dummyfunction("""COMPUTED_VALUE"""),4)</f>
        <v>4</v>
      </c>
      <c r="Z22" s="3"/>
      <c r="AA22" s="3"/>
      <c r="AB22" s="4" t="n">
        <f aca="false">IFERROR(__xludf.dummyfunction("""COMPUTED_VALUE"""),12.85)</f>
        <v>12.85</v>
      </c>
      <c r="AC22" s="4" t="n">
        <f aca="false">IFERROR(__xludf.dummyfunction("""COMPUTED_VALUE"""),58.1)</f>
        <v>58.1</v>
      </c>
      <c r="AD22" s="3" t="n">
        <f aca="false">IFERROR(__xludf.dummyfunction("""COMPUTED_VALUE"""),11)</f>
        <v>11</v>
      </c>
    </row>
    <row r="23" customFormat="false" ht="15.75" hidden="false" customHeight="false" outlineLevel="0" collapsed="false">
      <c r="A23" s="3" t="n">
        <f aca="false">IFERROR(__xludf.dummyfunction("""COMPUTED_VALUE"""),32)</f>
        <v>32</v>
      </c>
      <c r="B23" s="3" t="str">
        <f aca="false">IFERROR(__xludf.dummyfunction("""COMPUTED_VALUE"""),"Gracie")</f>
        <v>Gracie</v>
      </c>
      <c r="C23" s="3" t="str">
        <f aca="false">IFERROR(__xludf.dummyfunction("""COMPUTED_VALUE"""),"Rutherford")</f>
        <v>Rutherford</v>
      </c>
      <c r="D23" s="3" t="str">
        <f aca="false">IFERROR(__xludf.dummyfunction("""COMPUTED_VALUE"""),"DYN SG")</f>
        <v>DYN SG</v>
      </c>
      <c r="E23" s="3" t="str">
        <f aca="false">IFERROR(__xludf.dummyfunction("""COMPUTED_VALUE"""),"Grade 5")</f>
        <v>Grade 5</v>
      </c>
      <c r="F23" s="3" t="n">
        <f aca="false">IFERROR(__xludf.dummyfunction("""COMPUTED_VALUE"""),4)</f>
        <v>4</v>
      </c>
      <c r="G23" s="3"/>
      <c r="H23" s="3"/>
      <c r="I23" s="3" t="n">
        <f aca="false">IFERROR(__xludf.dummyfunction("""COMPUTED_VALUE"""),4)</f>
        <v>4</v>
      </c>
      <c r="J23" s="3"/>
      <c r="K23" s="3"/>
      <c r="L23" s="4" t="n">
        <f aca="false">IFERROR(__xludf.dummyfunction("""COMPUTED_VALUE"""),12.35)</f>
        <v>12.35</v>
      </c>
      <c r="M23" s="3" t="n">
        <f aca="false">IFERROR(__xludf.dummyfunction("""COMPUTED_VALUE"""),4)</f>
        <v>4</v>
      </c>
      <c r="N23" s="3"/>
      <c r="O23" s="3"/>
      <c r="P23" s="4" t="n">
        <f aca="false">IFERROR(__xludf.dummyfunction("""COMPUTED_VALUE"""),10.7)</f>
        <v>10.7</v>
      </c>
      <c r="Q23" s="3" t="n">
        <f aca="false">IFERROR(__xludf.dummyfunction("""COMPUTED_VALUE"""),3.5)</f>
        <v>3.5</v>
      </c>
      <c r="R23" s="3"/>
      <c r="S23" s="3" t="n">
        <f aca="false">IFERROR(__xludf.dummyfunction("""COMPUTED_VALUE"""),0.5)</f>
        <v>0.5</v>
      </c>
      <c r="T23" s="4" t="n">
        <f aca="false">IFERROR(__xludf.dummyfunction("""COMPUTED_VALUE"""),10.05)</f>
        <v>10.05</v>
      </c>
      <c r="U23" s="3" t="n">
        <f aca="false">IFERROR(__xludf.dummyfunction("""COMPUTED_VALUE"""),4)</f>
        <v>4</v>
      </c>
      <c r="V23" s="3"/>
      <c r="W23" s="3"/>
      <c r="X23" s="4" t="n">
        <f aca="false">IFERROR(__xludf.dummyfunction("""COMPUTED_VALUE"""),11.45)</f>
        <v>11.45</v>
      </c>
      <c r="Y23" s="3" t="n">
        <f aca="false">IFERROR(__xludf.dummyfunction("""COMPUTED_VALUE"""),4)</f>
        <v>4</v>
      </c>
      <c r="Z23" s="3"/>
      <c r="AA23" s="3"/>
      <c r="AB23" s="4" t="n">
        <f aca="false">IFERROR(__xludf.dummyfunction("""COMPUTED_VALUE"""),11.4)</f>
        <v>11.4</v>
      </c>
      <c r="AC23" s="4" t="n">
        <f aca="false">IFERROR(__xludf.dummyfunction("""COMPUTED_VALUE"""),55.95)</f>
        <v>55.95</v>
      </c>
      <c r="AD23" s="3" t="n">
        <f aca="false">IFERROR(__xludf.dummyfunction("""COMPUTED_VALUE"""),19)</f>
        <v>19</v>
      </c>
    </row>
    <row r="24" customFormat="false" ht="15.75" hidden="false" customHeight="false" outlineLevel="0" collapsed="false">
      <c r="A24" s="3" t="n">
        <f aca="false">IFERROR(__xludf.dummyfunction("""COMPUTED_VALUE"""),33)</f>
        <v>33</v>
      </c>
      <c r="B24" s="3" t="str">
        <f aca="false">IFERROR(__xludf.dummyfunction("""COMPUTED_VALUE"""),"Emily")</f>
        <v>Emily</v>
      </c>
      <c r="C24" s="3" t="str">
        <f aca="false">IFERROR(__xludf.dummyfunction("""COMPUTED_VALUE"""),"Clark")</f>
        <v>Clark</v>
      </c>
      <c r="D24" s="3" t="str">
        <f aca="false">IFERROR(__xludf.dummyfunction("""COMPUTED_VALUE"""),"DYN SG")</f>
        <v>DYN SG</v>
      </c>
      <c r="E24" s="3" t="str">
        <f aca="false">IFERROR(__xludf.dummyfunction("""COMPUTED_VALUE"""),"Grade 5")</f>
        <v>Grade 5</v>
      </c>
      <c r="F24" s="3" t="n">
        <f aca="false">IFERROR(__xludf.dummyfunction("""COMPUTED_VALUE"""),4)</f>
        <v>4</v>
      </c>
      <c r="G24" s="3"/>
      <c r="H24" s="3"/>
      <c r="I24" s="3" t="n">
        <f aca="false">IFERROR(__xludf.dummyfunction("""COMPUTED_VALUE"""),4)</f>
        <v>4</v>
      </c>
      <c r="J24" s="3"/>
      <c r="K24" s="3"/>
      <c r="L24" s="4" t="n">
        <f aca="false">IFERROR(__xludf.dummyfunction("""COMPUTED_VALUE"""),12.05)</f>
        <v>12.05</v>
      </c>
      <c r="M24" s="3" t="n">
        <f aca="false">IFERROR(__xludf.dummyfunction("""COMPUTED_VALUE"""),3)</f>
        <v>3</v>
      </c>
      <c r="N24" s="3"/>
      <c r="O24" s="3" t="n">
        <f aca="false">IFERROR(__xludf.dummyfunction("""COMPUTED_VALUE"""),2)</f>
        <v>2</v>
      </c>
      <c r="P24" s="4" t="n">
        <f aca="false">IFERROR(__xludf.dummyfunction("""COMPUTED_VALUE"""),4.5)</f>
        <v>4.5</v>
      </c>
      <c r="Q24" s="3" t="n">
        <f aca="false">IFERROR(__xludf.dummyfunction("""COMPUTED_VALUE"""),4)</f>
        <v>4</v>
      </c>
      <c r="R24" s="3"/>
      <c r="S24" s="3" t="n">
        <f aca="false">IFERROR(__xludf.dummyfunction("""COMPUTED_VALUE"""),0.5)</f>
        <v>0.5</v>
      </c>
      <c r="T24" s="4" t="n">
        <f aca="false">IFERROR(__xludf.dummyfunction("""COMPUTED_VALUE"""),9.95)</f>
        <v>9.95</v>
      </c>
      <c r="U24" s="3" t="n">
        <f aca="false">IFERROR(__xludf.dummyfunction("""COMPUTED_VALUE"""),4)</f>
        <v>4</v>
      </c>
      <c r="V24" s="3"/>
      <c r="W24" s="3"/>
      <c r="X24" s="4" t="n">
        <f aca="false">IFERROR(__xludf.dummyfunction("""COMPUTED_VALUE"""),10.9)</f>
        <v>10.9</v>
      </c>
      <c r="Y24" s="3" t="n">
        <f aca="false">IFERROR(__xludf.dummyfunction("""COMPUTED_VALUE"""),3)</f>
        <v>3</v>
      </c>
      <c r="Z24" s="3"/>
      <c r="AA24" s="3"/>
      <c r="AB24" s="4" t="n">
        <f aca="false">IFERROR(__xludf.dummyfunction("""COMPUTED_VALUE"""),9.7)</f>
        <v>9.7</v>
      </c>
      <c r="AC24" s="4" t="n">
        <f aca="false">IFERROR(__xludf.dummyfunction("""COMPUTED_VALUE"""),47.1)</f>
        <v>47.1</v>
      </c>
      <c r="AD24" s="3" t="n">
        <f aca="false">IFERROR(__xludf.dummyfunction("""COMPUTED_VALUE"""),43)</f>
        <v>43</v>
      </c>
    </row>
    <row r="25" customFormat="false" ht="15.75" hidden="false" customHeight="false" outlineLevel="0" collapsed="false">
      <c r="A25" s="3" t="n">
        <f aca="false">IFERROR(__xludf.dummyfunction("""COMPUTED_VALUE"""),34)</f>
        <v>34</v>
      </c>
      <c r="B25" s="3" t="str">
        <f aca="false">IFERROR(__xludf.dummyfunction("""COMPUTED_VALUE"""),"Emelia")</f>
        <v>Emelia</v>
      </c>
      <c r="C25" s="3" t="str">
        <f aca="false">IFERROR(__xludf.dummyfunction("""COMPUTED_VALUE"""),"Russell")</f>
        <v>Russell</v>
      </c>
      <c r="D25" s="3" t="str">
        <f aca="false">IFERROR(__xludf.dummyfunction("""COMPUTED_VALUE"""),"DYN SG")</f>
        <v>DYN SG</v>
      </c>
      <c r="E25" s="3" t="str">
        <f aca="false">IFERROR(__xludf.dummyfunction("""COMPUTED_VALUE"""),"Grade 5")</f>
        <v>Grade 5</v>
      </c>
      <c r="F25" s="3" t="n">
        <f aca="false">IFERROR(__xludf.dummyfunction("""COMPUTED_VALUE"""),4)</f>
        <v>4</v>
      </c>
      <c r="G25" s="3"/>
      <c r="H25" s="3"/>
      <c r="I25" s="3" t="n">
        <f aca="false">IFERROR(__xludf.dummyfunction("""COMPUTED_VALUE"""),4)</f>
        <v>4</v>
      </c>
      <c r="J25" s="3"/>
      <c r="K25" s="3"/>
      <c r="L25" s="4" t="n">
        <f aca="false">IFERROR(__xludf.dummyfunction("""COMPUTED_VALUE"""),11.7)</f>
        <v>11.7</v>
      </c>
      <c r="M25" s="3" t="n">
        <f aca="false">IFERROR(__xludf.dummyfunction("""COMPUTED_VALUE"""),3.5)</f>
        <v>3.5</v>
      </c>
      <c r="N25" s="3"/>
      <c r="O25" s="3" t="n">
        <f aca="false">IFERROR(__xludf.dummyfunction("""COMPUTED_VALUE"""),2)</f>
        <v>2</v>
      </c>
      <c r="P25" s="4" t="n">
        <f aca="false">IFERROR(__xludf.dummyfunction("""COMPUTED_VALUE"""),7.45)</f>
        <v>7.45</v>
      </c>
      <c r="Q25" s="3" t="n">
        <f aca="false">IFERROR(__xludf.dummyfunction("""COMPUTED_VALUE"""),4)</f>
        <v>4</v>
      </c>
      <c r="R25" s="3"/>
      <c r="S25" s="3"/>
      <c r="T25" s="4" t="n">
        <f aca="false">IFERROR(__xludf.dummyfunction("""COMPUTED_VALUE"""),10.4)</f>
        <v>10.4</v>
      </c>
      <c r="U25" s="3" t="n">
        <f aca="false">IFERROR(__xludf.dummyfunction("""COMPUTED_VALUE"""),4)</f>
        <v>4</v>
      </c>
      <c r="V25" s="3"/>
      <c r="W25" s="3"/>
      <c r="X25" s="4" t="n">
        <f aca="false">IFERROR(__xludf.dummyfunction("""COMPUTED_VALUE"""),11.2)</f>
        <v>11.2</v>
      </c>
      <c r="Y25" s="3" t="n">
        <f aca="false">IFERROR(__xludf.dummyfunction("""COMPUTED_VALUE"""),3)</f>
        <v>3</v>
      </c>
      <c r="Z25" s="3"/>
      <c r="AA25" s="3"/>
      <c r="AB25" s="4" t="n">
        <f aca="false">IFERROR(__xludf.dummyfunction("""COMPUTED_VALUE"""),10.25)</f>
        <v>10.25</v>
      </c>
      <c r="AC25" s="4" t="n">
        <f aca="false">IFERROR(__xludf.dummyfunction("""COMPUTED_VALUE"""),51)</f>
        <v>51</v>
      </c>
      <c r="AD25" s="3" t="n">
        <f aca="false">IFERROR(__xludf.dummyfunction("""COMPUTED_VALUE"""),38)</f>
        <v>38</v>
      </c>
    </row>
    <row r="26" customFormat="false" ht="15.75" hidden="false" customHeight="false" outlineLevel="0" collapsed="false">
      <c r="A26" s="3" t="n">
        <f aca="false">IFERROR(__xludf.dummyfunction("""COMPUTED_VALUE"""),35)</f>
        <v>35</v>
      </c>
      <c r="B26" s="3" t="str">
        <f aca="false">IFERROR(__xludf.dummyfunction("""COMPUTED_VALUE"""),"Anya")</f>
        <v>Anya</v>
      </c>
      <c r="C26" s="3" t="str">
        <f aca="false">IFERROR(__xludf.dummyfunction("""COMPUTED_VALUE"""),"Gohil")</f>
        <v>Gohil</v>
      </c>
      <c r="D26" s="3" t="str">
        <f aca="false">IFERROR(__xludf.dummyfunction("""COMPUTED_VALUE"""),"XCEL")</f>
        <v>XCEL</v>
      </c>
      <c r="E26" s="3" t="str">
        <f aca="false">IFERROR(__xludf.dummyfunction("""COMPUTED_VALUE"""),"Grade 5")</f>
        <v>Grade 5</v>
      </c>
      <c r="F26" s="3" t="n">
        <f aca="false">IFERROR(__xludf.dummyfunction("""COMPUTED_VALUE"""),4)</f>
        <v>4</v>
      </c>
      <c r="G26" s="3"/>
      <c r="H26" s="3"/>
      <c r="I26" s="3" t="n">
        <f aca="false">IFERROR(__xludf.dummyfunction("""COMPUTED_VALUE"""),4)</f>
        <v>4</v>
      </c>
      <c r="J26" s="3"/>
      <c r="K26" s="3"/>
      <c r="L26" s="4" t="n">
        <f aca="false">IFERROR(__xludf.dummyfunction("""COMPUTED_VALUE"""),12.4)</f>
        <v>12.4</v>
      </c>
      <c r="M26" s="3" t="n">
        <f aca="false">IFERROR(__xludf.dummyfunction("""COMPUTED_VALUE"""),4)</f>
        <v>4</v>
      </c>
      <c r="N26" s="3"/>
      <c r="O26" s="3"/>
      <c r="P26" s="4" t="n">
        <f aca="false">IFERROR(__xludf.dummyfunction("""COMPUTED_VALUE"""),12.25)</f>
        <v>12.25</v>
      </c>
      <c r="Q26" s="3" t="n">
        <f aca="false">IFERROR(__xludf.dummyfunction("""COMPUTED_VALUE"""),4)</f>
        <v>4</v>
      </c>
      <c r="R26" s="3"/>
      <c r="S26" s="3"/>
      <c r="T26" s="3" t="n">
        <f aca="false">IFERROR(__xludf.dummyfunction("""COMPUTED_VALUE"""),11.15)</f>
        <v>11.15</v>
      </c>
      <c r="U26" s="3" t="n">
        <f aca="false">IFERROR(__xludf.dummyfunction("""COMPUTED_VALUE"""),4)</f>
        <v>4</v>
      </c>
      <c r="V26" s="3"/>
      <c r="W26" s="3"/>
      <c r="X26" s="4" t="n">
        <f aca="false">IFERROR(__xludf.dummyfunction("""COMPUTED_VALUE"""),12.45)</f>
        <v>12.45</v>
      </c>
      <c r="Y26" s="3" t="n">
        <f aca="false">IFERROR(__xludf.dummyfunction("""COMPUTED_VALUE"""),4)</f>
        <v>4</v>
      </c>
      <c r="Z26" s="3"/>
      <c r="AA26" s="3"/>
      <c r="AB26" s="4" t="n">
        <f aca="false">IFERROR(__xludf.dummyfunction("""COMPUTED_VALUE"""),13.35)</f>
        <v>13.35</v>
      </c>
      <c r="AC26" s="4" t="n">
        <f aca="false">IFERROR(__xludf.dummyfunction("""COMPUTED_VALUE"""),61.6)</f>
        <v>61.6</v>
      </c>
      <c r="AD26" s="3" t="n">
        <f aca="false">IFERROR(__xludf.dummyfunction("""COMPUTED_VALUE"""),5)</f>
        <v>5</v>
      </c>
    </row>
    <row r="27" customFormat="false" ht="15.75" hidden="false" customHeight="false" outlineLevel="0" collapsed="false">
      <c r="A27" s="3" t="n">
        <f aca="false">IFERROR(__xludf.dummyfunction("""COMPUTED_VALUE"""),36)</f>
        <v>36</v>
      </c>
      <c r="B27" s="3" t="str">
        <f aca="false">IFERROR(__xludf.dummyfunction("""COMPUTED_VALUE"""),"Alaska")</f>
        <v>Alaska</v>
      </c>
      <c r="C27" s="3" t="str">
        <f aca="false">IFERROR(__xludf.dummyfunction("""COMPUTED_VALUE"""),"Cowdery")</f>
        <v>Cowdery</v>
      </c>
      <c r="D27" s="3" t="str">
        <f aca="false">IFERROR(__xludf.dummyfunction("""COMPUTED_VALUE"""),"XCEL")</f>
        <v>XCEL</v>
      </c>
      <c r="E27" s="3" t="str">
        <f aca="false">IFERROR(__xludf.dummyfunction("""COMPUTED_VALUE"""),"Grade 5")</f>
        <v>Grade 5</v>
      </c>
      <c r="F27" s="3" t="n">
        <f aca="false">IFERROR(__xludf.dummyfunction("""COMPUTED_VALUE"""),4)</f>
        <v>4</v>
      </c>
      <c r="G27" s="3"/>
      <c r="H27" s="3"/>
      <c r="I27" s="3" t="n">
        <f aca="false">IFERROR(__xludf.dummyfunction("""COMPUTED_VALUE"""),4)</f>
        <v>4</v>
      </c>
      <c r="J27" s="3"/>
      <c r="K27" s="3"/>
      <c r="L27" s="4" t="n">
        <f aca="false">IFERROR(__xludf.dummyfunction("""COMPUTED_VALUE"""),12.45)</f>
        <v>12.45</v>
      </c>
      <c r="M27" s="3" t="n">
        <f aca="false">IFERROR(__xludf.dummyfunction("""COMPUTED_VALUE"""),4)</f>
        <v>4</v>
      </c>
      <c r="N27" s="3"/>
      <c r="O27" s="3"/>
      <c r="P27" s="4" t="n">
        <f aca="false">IFERROR(__xludf.dummyfunction("""COMPUTED_VALUE"""),11.8)</f>
        <v>11.8</v>
      </c>
      <c r="Q27" s="3" t="n">
        <f aca="false">IFERROR(__xludf.dummyfunction("""COMPUTED_VALUE"""),4)</f>
        <v>4</v>
      </c>
      <c r="R27" s="3"/>
      <c r="S27" s="3"/>
      <c r="T27" s="4" t="n">
        <f aca="false">IFERROR(__xludf.dummyfunction("""COMPUTED_VALUE"""),11.1)</f>
        <v>11.1</v>
      </c>
      <c r="U27" s="3" t="n">
        <f aca="false">IFERROR(__xludf.dummyfunction("""COMPUTED_VALUE"""),4)</f>
        <v>4</v>
      </c>
      <c r="V27" s="3"/>
      <c r="W27" s="3"/>
      <c r="X27" s="4" t="n">
        <f aca="false">IFERROR(__xludf.dummyfunction("""COMPUTED_VALUE"""),12)</f>
        <v>12</v>
      </c>
      <c r="Y27" s="3" t="n">
        <f aca="false">IFERROR(__xludf.dummyfunction("""COMPUTED_VALUE"""),4)</f>
        <v>4</v>
      </c>
      <c r="Z27" s="3"/>
      <c r="AA27" s="3"/>
      <c r="AB27" s="4" t="n">
        <f aca="false">IFERROR(__xludf.dummyfunction("""COMPUTED_VALUE"""),12.65)</f>
        <v>12.65</v>
      </c>
      <c r="AC27" s="4" t="n">
        <f aca="false">IFERROR(__xludf.dummyfunction("""COMPUTED_VALUE"""),60)</f>
        <v>60</v>
      </c>
      <c r="AD27" s="3" t="n">
        <f aca="false">IFERROR(__xludf.dummyfunction("""COMPUTED_VALUE"""),7)</f>
        <v>7</v>
      </c>
    </row>
    <row r="28" customFormat="false" ht="15.75" hidden="false" customHeight="false" outlineLevel="0" collapsed="false">
      <c r="A28" s="3" t="n">
        <f aca="false">IFERROR(__xludf.dummyfunction("""COMPUTED_VALUE"""),37)</f>
        <v>37</v>
      </c>
      <c r="B28" s="3" t="str">
        <f aca="false">IFERROR(__xludf.dummyfunction("""COMPUTED_VALUE"""),"Lola")</f>
        <v>Lola</v>
      </c>
      <c r="C28" s="3" t="str">
        <f aca="false">IFERROR(__xludf.dummyfunction("""COMPUTED_VALUE"""),"Head")</f>
        <v>Head</v>
      </c>
      <c r="D28" s="3" t="str">
        <f aca="false">IFERROR(__xludf.dummyfunction("""COMPUTED_VALUE"""),"XCEL")</f>
        <v>XCEL</v>
      </c>
      <c r="E28" s="3" t="str">
        <f aca="false">IFERROR(__xludf.dummyfunction("""COMPUTED_VALUE"""),"Grade 5")</f>
        <v>Grade 5</v>
      </c>
      <c r="F28" s="3" t="n">
        <f aca="false">IFERROR(__xludf.dummyfunction("""COMPUTED_VALUE"""),4)</f>
        <v>4</v>
      </c>
      <c r="G28" s="3"/>
      <c r="H28" s="3"/>
      <c r="I28" s="3" t="n">
        <f aca="false">IFERROR(__xludf.dummyfunction("""COMPUTED_VALUE"""),4)</f>
        <v>4</v>
      </c>
      <c r="J28" s="3"/>
      <c r="K28" s="3"/>
      <c r="L28" s="4" t="n">
        <f aca="false">IFERROR(__xludf.dummyfunction("""COMPUTED_VALUE"""),12.6)</f>
        <v>12.6</v>
      </c>
      <c r="M28" s="3" t="n">
        <f aca="false">IFERROR(__xludf.dummyfunction("""COMPUTED_VALUE"""),4)</f>
        <v>4</v>
      </c>
      <c r="N28" s="3"/>
      <c r="O28" s="3"/>
      <c r="P28" s="4" t="n">
        <f aca="false">IFERROR(__xludf.dummyfunction("""COMPUTED_VALUE"""),11.95)</f>
        <v>11.95</v>
      </c>
      <c r="Q28" s="3" t="n">
        <f aca="false">IFERROR(__xludf.dummyfunction("""COMPUTED_VALUE"""),4)</f>
        <v>4</v>
      </c>
      <c r="R28" s="3"/>
      <c r="S28" s="3"/>
      <c r="T28" s="4" t="n">
        <f aca="false">IFERROR(__xludf.dummyfunction("""COMPUTED_VALUE"""),12.65)</f>
        <v>12.65</v>
      </c>
      <c r="U28" s="3" t="n">
        <f aca="false">IFERROR(__xludf.dummyfunction("""COMPUTED_VALUE"""),4)</f>
        <v>4</v>
      </c>
      <c r="V28" s="3"/>
      <c r="W28" s="3"/>
      <c r="X28" s="4" t="n">
        <f aca="false">IFERROR(__xludf.dummyfunction("""COMPUTED_VALUE"""),12.3)</f>
        <v>12.3</v>
      </c>
      <c r="Y28" s="3" t="n">
        <f aca="false">IFERROR(__xludf.dummyfunction("""COMPUTED_VALUE"""),4)</f>
        <v>4</v>
      </c>
      <c r="Z28" s="3"/>
      <c r="AA28" s="3"/>
      <c r="AB28" s="4" t="n">
        <f aca="false">IFERROR(__xludf.dummyfunction("""COMPUTED_VALUE"""),13.65)</f>
        <v>13.65</v>
      </c>
      <c r="AC28" s="4" t="n">
        <f aca="false">IFERROR(__xludf.dummyfunction("""COMPUTED_VALUE"""),63.15)</f>
        <v>63.15</v>
      </c>
      <c r="AD28" s="3" t="n">
        <f aca="false">IFERROR(__xludf.dummyfunction("""COMPUTED_VALUE"""),1)</f>
        <v>1</v>
      </c>
    </row>
    <row r="29" customFormat="false" ht="15.75" hidden="false" customHeight="false" outlineLevel="0" collapsed="false">
      <c r="A29" s="3" t="n">
        <f aca="false">IFERROR(__xludf.dummyfunction("""COMPUTED_VALUE"""),38)</f>
        <v>38</v>
      </c>
      <c r="B29" s="3" t="str">
        <f aca="false">IFERROR(__xludf.dummyfunction("""COMPUTED_VALUE"""),"Esmie")</f>
        <v>Esmie</v>
      </c>
      <c r="C29" s="3" t="str">
        <f aca="false">IFERROR(__xludf.dummyfunction("""COMPUTED_VALUE"""),"Huntley")</f>
        <v>Huntley</v>
      </c>
      <c r="D29" s="3" t="str">
        <f aca="false">IFERROR(__xludf.dummyfunction("""COMPUTED_VALUE"""),"XCEL")</f>
        <v>XCEL</v>
      </c>
      <c r="E29" s="3" t="str">
        <f aca="false">IFERROR(__xludf.dummyfunction("""COMPUTED_VALUE"""),"Grade 5")</f>
        <v>Grade 5</v>
      </c>
      <c r="F29" s="3" t="n">
        <f aca="false">IFERROR(__xludf.dummyfunction("""COMPUTED_VALUE"""),4)</f>
        <v>4</v>
      </c>
      <c r="G29" s="3"/>
      <c r="H29" s="3"/>
      <c r="I29" s="3" t="n">
        <f aca="false">IFERROR(__xludf.dummyfunction("""COMPUTED_VALUE"""),4)</f>
        <v>4</v>
      </c>
      <c r="J29" s="3"/>
      <c r="K29" s="3"/>
      <c r="L29" s="4" t="n">
        <f aca="false">IFERROR(__xludf.dummyfunction("""COMPUTED_VALUE"""),11.4)</f>
        <v>11.4</v>
      </c>
      <c r="M29" s="3" t="n">
        <f aca="false">IFERROR(__xludf.dummyfunction("""COMPUTED_VALUE"""),4)</f>
        <v>4</v>
      </c>
      <c r="N29" s="3"/>
      <c r="O29" s="3"/>
      <c r="P29" s="4" t="n">
        <f aca="false">IFERROR(__xludf.dummyfunction("""COMPUTED_VALUE"""),10.8)</f>
        <v>10.8</v>
      </c>
      <c r="Q29" s="3" t="n">
        <f aca="false">IFERROR(__xludf.dummyfunction("""COMPUTED_VALUE"""),4)</f>
        <v>4</v>
      </c>
      <c r="R29" s="3"/>
      <c r="S29" s="3"/>
      <c r="T29" s="4" t="n">
        <f aca="false">IFERROR(__xludf.dummyfunction("""COMPUTED_VALUE"""),11.3)</f>
        <v>11.3</v>
      </c>
      <c r="U29" s="3" t="n">
        <f aca="false">IFERROR(__xludf.dummyfunction("""COMPUTED_VALUE"""),4)</f>
        <v>4</v>
      </c>
      <c r="V29" s="3"/>
      <c r="W29" s="3"/>
      <c r="X29" s="4" t="n">
        <f aca="false">IFERROR(__xludf.dummyfunction("""COMPUTED_VALUE"""),11.5)</f>
        <v>11.5</v>
      </c>
      <c r="Y29" s="3" t="n">
        <f aca="false">IFERROR(__xludf.dummyfunction("""COMPUTED_VALUE"""),3.5)</f>
        <v>3.5</v>
      </c>
      <c r="Z29" s="3"/>
      <c r="AA29" s="3"/>
      <c r="AB29" s="4" t="n">
        <f aca="false">IFERROR(__xludf.dummyfunction("""COMPUTED_VALUE"""),12.4)</f>
        <v>12.4</v>
      </c>
      <c r="AC29" s="4" t="n">
        <f aca="false">IFERROR(__xludf.dummyfunction("""COMPUTED_VALUE"""),57.4)</f>
        <v>57.4</v>
      </c>
      <c r="AD29" s="3" t="n">
        <f aca="false">IFERROR(__xludf.dummyfunction("""COMPUTED_VALUE"""),13)</f>
        <v>13</v>
      </c>
    </row>
    <row r="30" customFormat="false" ht="15.75" hidden="false" customHeight="false" outlineLevel="0" collapsed="false">
      <c r="A30" s="3" t="n">
        <f aca="false">IFERROR(__xludf.dummyfunction("""COMPUTED_VALUE"""),39)</f>
        <v>39</v>
      </c>
      <c r="B30" s="3" t="str">
        <f aca="false">IFERROR(__xludf.dummyfunction("""COMPUTED_VALUE"""),"Isabelle")</f>
        <v>Isabelle</v>
      </c>
      <c r="C30" s="3" t="str">
        <f aca="false">IFERROR(__xludf.dummyfunction("""COMPUTED_VALUE"""),"Davies")</f>
        <v>Davies</v>
      </c>
      <c r="D30" s="3" t="str">
        <f aca="false">IFERROR(__xludf.dummyfunction("""COMPUTED_VALUE"""),"HART GC")</f>
        <v>HART GC</v>
      </c>
      <c r="E30" s="3" t="str">
        <f aca="false">IFERROR(__xludf.dummyfunction("""COMPUTED_VALUE"""),"Grade 5")</f>
        <v>Grade 5</v>
      </c>
      <c r="F30" s="3" t="n">
        <f aca="false">IFERROR(__xludf.dummyfunction("""COMPUTED_VALUE"""),4)</f>
        <v>4</v>
      </c>
      <c r="G30" s="3"/>
      <c r="H30" s="3"/>
      <c r="I30" s="3" t="n">
        <f aca="false">IFERROR(__xludf.dummyfunction("""COMPUTED_VALUE"""),4)</f>
        <v>4</v>
      </c>
      <c r="J30" s="3"/>
      <c r="K30" s="3"/>
      <c r="L30" s="4" t="n">
        <f aca="false">IFERROR(__xludf.dummyfunction("""COMPUTED_VALUE"""),12.1)</f>
        <v>12.1</v>
      </c>
      <c r="M30" s="3" t="n">
        <f aca="false">IFERROR(__xludf.dummyfunction("""COMPUTED_VALUE"""),4)</f>
        <v>4</v>
      </c>
      <c r="N30" s="3"/>
      <c r="O30" s="3"/>
      <c r="P30" s="4" t="n">
        <f aca="false">IFERROR(__xludf.dummyfunction("""COMPUTED_VALUE"""),10.45)</f>
        <v>10.45</v>
      </c>
      <c r="Q30" s="3" t="n">
        <f aca="false">IFERROR(__xludf.dummyfunction("""COMPUTED_VALUE"""),4)</f>
        <v>4</v>
      </c>
      <c r="R30" s="3"/>
      <c r="S30" s="3"/>
      <c r="T30" s="4" t="n">
        <f aca="false">IFERROR(__xludf.dummyfunction("""COMPUTED_VALUE"""),10.15)</f>
        <v>10.15</v>
      </c>
      <c r="U30" s="3" t="n">
        <f aca="false">IFERROR(__xludf.dummyfunction("""COMPUTED_VALUE"""),4)</f>
        <v>4</v>
      </c>
      <c r="V30" s="3"/>
      <c r="W30" s="3"/>
      <c r="X30" s="4" t="n">
        <f aca="false">IFERROR(__xludf.dummyfunction("""COMPUTED_VALUE"""),11.45)</f>
        <v>11.45</v>
      </c>
      <c r="Y30" s="3" t="n">
        <f aca="false">IFERROR(__xludf.dummyfunction("""COMPUTED_VALUE"""),3)</f>
        <v>3</v>
      </c>
      <c r="Z30" s="3"/>
      <c r="AA30" s="3"/>
      <c r="AB30" s="4" t="n">
        <f aca="false">IFERROR(__xludf.dummyfunction("""COMPUTED_VALUE"""),10.5)</f>
        <v>10.5</v>
      </c>
      <c r="AC30" s="4" t="n">
        <f aca="false">IFERROR(__xludf.dummyfunction("""COMPUTED_VALUE"""),54.65)</f>
        <v>54.65</v>
      </c>
      <c r="AD30" s="3" t="n">
        <f aca="false">IFERROR(__xludf.dummyfunction("""COMPUTED_VALUE"""),22)</f>
        <v>22</v>
      </c>
    </row>
    <row r="31" customFormat="false" ht="15.75" hidden="false" customHeight="false" outlineLevel="0" collapsed="false">
      <c r="A31" s="3" t="n">
        <f aca="false">IFERROR(__xludf.dummyfunction("""COMPUTED_VALUE"""),40)</f>
        <v>40</v>
      </c>
      <c r="B31" s="3" t="str">
        <f aca="false">IFERROR(__xludf.dummyfunction("""COMPUTED_VALUE"""),"Megan")</f>
        <v>Megan</v>
      </c>
      <c r="C31" s="3" t="str">
        <f aca="false">IFERROR(__xludf.dummyfunction("""COMPUTED_VALUE"""),"Mason")</f>
        <v>Mason</v>
      </c>
      <c r="D31" s="3" t="str">
        <f aca="false">IFERROR(__xludf.dummyfunction("""COMPUTED_VALUE"""),"DYN SG")</f>
        <v>DYN SG</v>
      </c>
      <c r="E31" s="3" t="str">
        <f aca="false">IFERROR(__xludf.dummyfunction("""COMPUTED_VALUE"""),"Grade 5")</f>
        <v>Grade 5</v>
      </c>
      <c r="F31" s="3" t="n">
        <f aca="false">IFERROR(__xludf.dummyfunction("""COMPUTED_VALUE"""),4)</f>
        <v>4</v>
      </c>
      <c r="G31" s="3"/>
      <c r="H31" s="3"/>
      <c r="I31" s="3" t="n">
        <f aca="false">IFERROR(__xludf.dummyfunction("""COMPUTED_VALUE"""),4)</f>
        <v>4</v>
      </c>
      <c r="J31" s="3"/>
      <c r="K31" s="3"/>
      <c r="L31" s="4" t="n">
        <f aca="false">IFERROR(__xludf.dummyfunction("""COMPUTED_VALUE"""),12.15)</f>
        <v>12.15</v>
      </c>
      <c r="M31" s="3" t="n">
        <f aca="false">IFERROR(__xludf.dummyfunction("""COMPUTED_VALUE"""),4)</f>
        <v>4</v>
      </c>
      <c r="N31" s="3"/>
      <c r="O31" s="3"/>
      <c r="P31" s="4" t="n">
        <f aca="false">IFERROR(__xludf.dummyfunction("""COMPUTED_VALUE"""),8.7)</f>
        <v>8.7</v>
      </c>
      <c r="Q31" s="3" t="n">
        <f aca="false">IFERROR(__xludf.dummyfunction("""COMPUTED_VALUE"""),4)</f>
        <v>4</v>
      </c>
      <c r="R31" s="3"/>
      <c r="S31" s="3" t="n">
        <f aca="false">IFERROR(__xludf.dummyfunction("""COMPUTED_VALUE"""),0.5)</f>
        <v>0.5</v>
      </c>
      <c r="T31" s="4" t="n">
        <f aca="false">IFERROR(__xludf.dummyfunction("""COMPUTED_VALUE"""),9.85)</f>
        <v>9.85</v>
      </c>
      <c r="U31" s="3" t="n">
        <f aca="false">IFERROR(__xludf.dummyfunction("""COMPUTED_VALUE"""),4)</f>
        <v>4</v>
      </c>
      <c r="V31" s="3"/>
      <c r="W31" s="3"/>
      <c r="X31" s="4" t="n">
        <f aca="false">IFERROR(__xludf.dummyfunction("""COMPUTED_VALUE"""),10.65)</f>
        <v>10.65</v>
      </c>
      <c r="Y31" s="3" t="n">
        <f aca="false">IFERROR(__xludf.dummyfunction("""COMPUTED_VALUE"""),3)</f>
        <v>3</v>
      </c>
      <c r="Z31" s="3"/>
      <c r="AA31" s="3"/>
      <c r="AB31" s="4" t="n">
        <f aca="false">IFERROR(__xludf.dummyfunction("""COMPUTED_VALUE"""),10.1)</f>
        <v>10.1</v>
      </c>
      <c r="AC31" s="4" t="n">
        <f aca="false">IFERROR(__xludf.dummyfunction("""COMPUTED_VALUE"""),51.45)</f>
        <v>51.45</v>
      </c>
      <c r="AD31" s="3" t="n">
        <f aca="false">IFERROR(__xludf.dummyfunction("""COMPUTED_VALUE"""),35)</f>
        <v>35</v>
      </c>
    </row>
    <row r="32" customFormat="false" ht="15.75" hidden="false" customHeight="false" outlineLevel="0" collapsed="false">
      <c r="A32" s="3" t="n">
        <f aca="false">IFERROR(__xludf.dummyfunction("""COMPUTED_VALUE"""),41)</f>
        <v>41</v>
      </c>
      <c r="B32" s="3" t="str">
        <f aca="false">IFERROR(__xludf.dummyfunction("""COMPUTED_VALUE"""),"Kate")</f>
        <v>Kate</v>
      </c>
      <c r="C32" s="3" t="str">
        <f aca="false">IFERROR(__xludf.dummyfunction("""COMPUTED_VALUE"""),"Makare")</f>
        <v>Makare</v>
      </c>
      <c r="D32" s="3" t="str">
        <f aca="false">IFERROR(__xludf.dummyfunction("""COMPUTED_VALUE"""),"DYN SG")</f>
        <v>DYN SG</v>
      </c>
      <c r="E32" s="3" t="str">
        <f aca="false">IFERROR(__xludf.dummyfunction("""COMPUTED_VALUE"""),"Grade 5")</f>
        <v>Grade 5</v>
      </c>
      <c r="F32" s="3" t="n">
        <f aca="false">IFERROR(__xludf.dummyfunction("""COMPUTED_VALUE"""),4)</f>
        <v>4</v>
      </c>
      <c r="G32" s="3"/>
      <c r="H32" s="3"/>
      <c r="I32" s="3" t="n">
        <f aca="false">IFERROR(__xludf.dummyfunction("""COMPUTED_VALUE"""),4)</f>
        <v>4</v>
      </c>
      <c r="J32" s="3"/>
      <c r="K32" s="3"/>
      <c r="L32" s="4" t="n">
        <f aca="false">IFERROR(__xludf.dummyfunction("""COMPUTED_VALUE"""),12.25)</f>
        <v>12.25</v>
      </c>
      <c r="M32" s="3" t="n">
        <f aca="false">IFERROR(__xludf.dummyfunction("""COMPUTED_VALUE"""),4)</f>
        <v>4</v>
      </c>
      <c r="N32" s="3"/>
      <c r="O32" s="3"/>
      <c r="P32" s="4" t="n">
        <f aca="false">IFERROR(__xludf.dummyfunction("""COMPUTED_VALUE"""),9.95)</f>
        <v>9.95</v>
      </c>
      <c r="Q32" s="3" t="n">
        <f aca="false">IFERROR(__xludf.dummyfunction("""COMPUTED_VALUE"""),4)</f>
        <v>4</v>
      </c>
      <c r="R32" s="3"/>
      <c r="S32" s="3" t="n">
        <f aca="false">IFERROR(__xludf.dummyfunction("""COMPUTED_VALUE"""),0.5)</f>
        <v>0.5</v>
      </c>
      <c r="T32" s="4" t="n">
        <f aca="false">IFERROR(__xludf.dummyfunction("""COMPUTED_VALUE"""),10.25)</f>
        <v>10.25</v>
      </c>
      <c r="U32" s="3" t="n">
        <f aca="false">IFERROR(__xludf.dummyfunction("""COMPUTED_VALUE"""),4)</f>
        <v>4</v>
      </c>
      <c r="V32" s="3"/>
      <c r="W32" s="3"/>
      <c r="X32" s="4" t="n">
        <f aca="false">IFERROR(__xludf.dummyfunction("""COMPUTED_VALUE"""),10.8)</f>
        <v>10.8</v>
      </c>
      <c r="Y32" s="3" t="n">
        <f aca="false">IFERROR(__xludf.dummyfunction("""COMPUTED_VALUE"""),1.5)</f>
        <v>1.5</v>
      </c>
      <c r="Z32" s="3"/>
      <c r="AA32" s="3"/>
      <c r="AB32" s="4" t="n">
        <f aca="false">IFERROR(__xludf.dummyfunction("""COMPUTED_VALUE"""),7.15)</f>
        <v>7.15</v>
      </c>
      <c r="AC32" s="4" t="n">
        <f aca="false">IFERROR(__xludf.dummyfunction("""COMPUTED_VALUE"""),50.4)</f>
        <v>50.4</v>
      </c>
      <c r="AD32" s="3" t="n">
        <f aca="false">IFERROR(__xludf.dummyfunction("""COMPUTED_VALUE"""),40)</f>
        <v>40</v>
      </c>
    </row>
    <row r="33" customFormat="false" ht="15.75" hidden="false" customHeight="false" outlineLevel="0" collapsed="false">
      <c r="A33" s="3" t="n">
        <f aca="false">IFERROR(__xludf.dummyfunction("""COMPUTED_VALUE"""),42)</f>
        <v>42</v>
      </c>
      <c r="B33" s="3" t="str">
        <f aca="false">IFERROR(__xludf.dummyfunction("""COMPUTED_VALUE"""),"Isla-Rose")</f>
        <v>Isla-Rose</v>
      </c>
      <c r="C33" s="3" t="str">
        <f aca="false">IFERROR(__xludf.dummyfunction("""COMPUTED_VALUE"""),"Mude")</f>
        <v>Mude</v>
      </c>
      <c r="D33" s="3" t="str">
        <f aca="false">IFERROR(__xludf.dummyfunction("""COMPUTED_VALUE"""),"DYN SG")</f>
        <v>DYN SG</v>
      </c>
      <c r="E33" s="3" t="str">
        <f aca="false">IFERROR(__xludf.dummyfunction("""COMPUTED_VALUE"""),"Grade 5")</f>
        <v>Grade 5</v>
      </c>
      <c r="F33" s="3" t="n">
        <f aca="false">IFERROR(__xludf.dummyfunction("""COMPUTED_VALUE"""),4)</f>
        <v>4</v>
      </c>
      <c r="G33" s="3"/>
      <c r="H33" s="3"/>
      <c r="I33" s="3" t="n">
        <f aca="false">IFERROR(__xludf.dummyfunction("""COMPUTED_VALUE"""),4)</f>
        <v>4</v>
      </c>
      <c r="J33" s="3"/>
      <c r="K33" s="3"/>
      <c r="L33" s="4" t="n">
        <f aca="false">IFERROR(__xludf.dummyfunction("""COMPUTED_VALUE"""),12.35)</f>
        <v>12.35</v>
      </c>
      <c r="M33" s="3" t="n">
        <f aca="false">IFERROR(__xludf.dummyfunction("""COMPUTED_VALUE"""),4)</f>
        <v>4</v>
      </c>
      <c r="N33" s="3"/>
      <c r="O33" s="3"/>
      <c r="P33" s="4" t="n">
        <f aca="false">IFERROR(__xludf.dummyfunction("""COMPUTED_VALUE"""),10.15)</f>
        <v>10.15</v>
      </c>
      <c r="Q33" s="3" t="n">
        <f aca="false">IFERROR(__xludf.dummyfunction("""COMPUTED_VALUE"""),3.5)</f>
        <v>3.5</v>
      </c>
      <c r="R33" s="3"/>
      <c r="S33" s="3"/>
      <c r="T33" s="4" t="n">
        <f aca="false">IFERROR(__xludf.dummyfunction("""COMPUTED_VALUE"""),9.25)</f>
        <v>9.25</v>
      </c>
      <c r="U33" s="3" t="n">
        <f aca="false">IFERROR(__xludf.dummyfunction("""COMPUTED_VALUE"""),4)</f>
        <v>4</v>
      </c>
      <c r="V33" s="3"/>
      <c r="W33" s="3"/>
      <c r="X33" s="4" t="n">
        <f aca="false">IFERROR(__xludf.dummyfunction("""COMPUTED_VALUE"""),10.7)</f>
        <v>10.7</v>
      </c>
      <c r="Y33" s="3" t="n">
        <f aca="false">IFERROR(__xludf.dummyfunction("""COMPUTED_VALUE"""),2)</f>
        <v>2</v>
      </c>
      <c r="Z33" s="3"/>
      <c r="AA33" s="3"/>
      <c r="AB33" s="4" t="n">
        <f aca="false">IFERROR(__xludf.dummyfunction("""COMPUTED_VALUE"""),8.75)</f>
        <v>8.75</v>
      </c>
      <c r="AC33" s="4" t="n">
        <f aca="false">IFERROR(__xludf.dummyfunction("""COMPUTED_VALUE"""),51.2)</f>
        <v>51.2</v>
      </c>
      <c r="AD33" s="3" t="n">
        <f aca="false">IFERROR(__xludf.dummyfunction("""COMPUTED_VALUE"""),37)</f>
        <v>37</v>
      </c>
    </row>
    <row r="34" customFormat="false" ht="15.75" hidden="false" customHeight="false" outlineLevel="0" collapsed="false">
      <c r="A34" s="3" t="n">
        <f aca="false">IFERROR(__xludf.dummyfunction("""COMPUTED_VALUE"""),43)</f>
        <v>43</v>
      </c>
      <c r="B34" s="3" t="str">
        <f aca="false">IFERROR(__xludf.dummyfunction("""COMPUTED_VALUE"""),"Isla")</f>
        <v>Isla</v>
      </c>
      <c r="C34" s="3" t="str">
        <f aca="false">IFERROR(__xludf.dummyfunction("""COMPUTED_VALUE"""),"Rowland")</f>
        <v>Rowland</v>
      </c>
      <c r="D34" s="3" t="str">
        <f aca="false">IFERROR(__xludf.dummyfunction("""COMPUTED_VALUE"""),"DYN SG")</f>
        <v>DYN SG</v>
      </c>
      <c r="E34" s="3" t="str">
        <f aca="false">IFERROR(__xludf.dummyfunction("""COMPUTED_VALUE"""),"Grade 5")</f>
        <v>Grade 5</v>
      </c>
      <c r="F34" s="3" t="n">
        <f aca="false">IFERROR(__xludf.dummyfunction("""COMPUTED_VALUE"""),4)</f>
        <v>4</v>
      </c>
      <c r="G34" s="3"/>
      <c r="H34" s="3"/>
      <c r="I34" s="3" t="n">
        <f aca="false">IFERROR(__xludf.dummyfunction("""COMPUTED_VALUE"""),4)</f>
        <v>4</v>
      </c>
      <c r="J34" s="3"/>
      <c r="K34" s="3"/>
      <c r="L34" s="4" t="n">
        <f aca="false">IFERROR(__xludf.dummyfunction("""COMPUTED_VALUE"""),11.65)</f>
        <v>11.65</v>
      </c>
      <c r="M34" s="3" t="n">
        <f aca="false">IFERROR(__xludf.dummyfunction("""COMPUTED_VALUE"""),3.5)</f>
        <v>3.5</v>
      </c>
      <c r="N34" s="3"/>
      <c r="O34" s="3"/>
      <c r="P34" s="4" t="n">
        <f aca="false">IFERROR(__xludf.dummyfunction("""COMPUTED_VALUE"""),7.65)</f>
        <v>7.65</v>
      </c>
      <c r="Q34" s="3" t="n">
        <f aca="false">IFERROR(__xludf.dummyfunction("""COMPUTED_VALUE"""),4)</f>
        <v>4</v>
      </c>
      <c r="R34" s="3"/>
      <c r="S34" s="3"/>
      <c r="T34" s="4" t="n">
        <f aca="false">IFERROR(__xludf.dummyfunction("""COMPUTED_VALUE"""),10.05)</f>
        <v>10.05</v>
      </c>
      <c r="U34" s="3" t="n">
        <f aca="false">IFERROR(__xludf.dummyfunction("""COMPUTED_VALUE"""),3.5)</f>
        <v>3.5</v>
      </c>
      <c r="V34" s="3"/>
      <c r="W34" s="3"/>
      <c r="X34" s="4" t="n">
        <f aca="false">IFERROR(__xludf.dummyfunction("""COMPUTED_VALUE"""),9.15)</f>
        <v>9.15</v>
      </c>
      <c r="Y34" s="3" t="n">
        <f aca="false">IFERROR(__xludf.dummyfunction("""COMPUTED_VALUE"""),1)</f>
        <v>1</v>
      </c>
      <c r="Z34" s="3"/>
      <c r="AA34" s="3"/>
      <c r="AB34" s="4" t="n">
        <f aca="false">IFERROR(__xludf.dummyfunction("""COMPUTED_VALUE"""),5.65)</f>
        <v>5.65</v>
      </c>
      <c r="AC34" s="4" t="n">
        <f aca="false">IFERROR(__xludf.dummyfunction("""COMPUTED_VALUE"""),44.15)</f>
        <v>44.15</v>
      </c>
      <c r="AD34" s="3" t="n">
        <f aca="false">IFERROR(__xludf.dummyfunction("""COMPUTED_VALUE"""),44)</f>
        <v>44</v>
      </c>
    </row>
    <row r="35" customFormat="false" ht="15.75" hidden="false" customHeight="false" outlineLevel="0" collapsed="false">
      <c r="A35" s="3" t="n">
        <f aca="false">IFERROR(__xludf.dummyfunction("""COMPUTED_VALUE"""),44)</f>
        <v>44</v>
      </c>
      <c r="B35" s="3" t="str">
        <f aca="false">IFERROR(__xludf.dummyfunction("""COMPUTED_VALUE"""),"Mollie")</f>
        <v>Mollie</v>
      </c>
      <c r="C35" s="3" t="str">
        <f aca="false">IFERROR(__xludf.dummyfunction("""COMPUTED_VALUE"""),"Strange")</f>
        <v>Strange</v>
      </c>
      <c r="D35" s="3" t="str">
        <f aca="false">IFERROR(__xludf.dummyfunction("""COMPUTED_VALUE"""),"DYN SG")</f>
        <v>DYN SG</v>
      </c>
      <c r="E35" s="3" t="str">
        <f aca="false">IFERROR(__xludf.dummyfunction("""COMPUTED_VALUE"""),"Grade 5")</f>
        <v>Grade 5</v>
      </c>
      <c r="F35" s="3" t="n">
        <f aca="false">IFERROR(__xludf.dummyfunction("""COMPUTED_VALUE"""),4)</f>
        <v>4</v>
      </c>
      <c r="G35" s="3"/>
      <c r="H35" s="3"/>
      <c r="I35" s="3" t="n">
        <f aca="false">IFERROR(__xludf.dummyfunction("""COMPUTED_VALUE"""),4)</f>
        <v>4</v>
      </c>
      <c r="J35" s="3"/>
      <c r="K35" s="3"/>
      <c r="L35" s="4" t="n">
        <f aca="false">IFERROR(__xludf.dummyfunction("""COMPUTED_VALUE"""),12.4)</f>
        <v>12.4</v>
      </c>
      <c r="M35" s="3" t="n">
        <f aca="false">IFERROR(__xludf.dummyfunction("""COMPUTED_VALUE"""),4)</f>
        <v>4</v>
      </c>
      <c r="N35" s="3"/>
      <c r="O35" s="3"/>
      <c r="P35" s="4" t="n">
        <f aca="false">IFERROR(__xludf.dummyfunction("""COMPUTED_VALUE"""),10.4)</f>
        <v>10.4</v>
      </c>
      <c r="Q35" s="3" t="n">
        <f aca="false">IFERROR(__xludf.dummyfunction("""COMPUTED_VALUE"""),4)</f>
        <v>4</v>
      </c>
      <c r="R35" s="3"/>
      <c r="S35" s="3"/>
      <c r="T35" s="4" t="n">
        <f aca="false">IFERROR(__xludf.dummyfunction("""COMPUTED_VALUE"""),10.25)</f>
        <v>10.25</v>
      </c>
      <c r="U35" s="3" t="n">
        <f aca="false">IFERROR(__xludf.dummyfunction("""COMPUTED_VALUE"""),3.5)</f>
        <v>3.5</v>
      </c>
      <c r="V35" s="3"/>
      <c r="W35" s="3"/>
      <c r="X35" s="4" t="n">
        <f aca="false">IFERROR(__xludf.dummyfunction("""COMPUTED_VALUE"""),10.2)</f>
        <v>10.2</v>
      </c>
      <c r="Y35" s="3" t="n">
        <f aca="false">IFERROR(__xludf.dummyfunction("""COMPUTED_VALUE"""),4)</f>
        <v>4</v>
      </c>
      <c r="Z35" s="3"/>
      <c r="AA35" s="3"/>
      <c r="AB35" s="4" t="n">
        <f aca="false">IFERROR(__xludf.dummyfunction("""COMPUTED_VALUE"""),11.9)</f>
        <v>11.9</v>
      </c>
      <c r="AC35" s="4" t="n">
        <f aca="false">IFERROR(__xludf.dummyfunction("""COMPUTED_VALUE"""),55.15)</f>
        <v>55.15</v>
      </c>
      <c r="AD35" s="3" t="n">
        <f aca="false">IFERROR(__xludf.dummyfunction("""COMPUTED_VALUE"""),21)</f>
        <v>21</v>
      </c>
    </row>
    <row r="36" customFormat="false" ht="15.75" hidden="false" customHeight="false" outlineLevel="0" collapsed="false">
      <c r="A36" s="3" t="n">
        <f aca="false">IFERROR(__xludf.dummyfunction("""COMPUTED_VALUE"""),45)</f>
        <v>45</v>
      </c>
      <c r="B36" s="3" t="str">
        <f aca="false">IFERROR(__xludf.dummyfunction("""COMPUTED_VALUE"""),"Lucy")</f>
        <v>Lucy</v>
      </c>
      <c r="C36" s="3" t="str">
        <f aca="false">IFERROR(__xludf.dummyfunction("""COMPUTED_VALUE"""),"Jackson")</f>
        <v>Jackson</v>
      </c>
      <c r="D36" s="3" t="str">
        <f aca="false">IFERROR(__xludf.dummyfunction("""COMPUTED_VALUE"""),"FOX GC")</f>
        <v>FOX GC</v>
      </c>
      <c r="E36" s="3" t="str">
        <f aca="false">IFERROR(__xludf.dummyfunction("""COMPUTED_VALUE"""),"Grade 5")</f>
        <v>Grade 5</v>
      </c>
      <c r="F36" s="3" t="n">
        <f aca="false">IFERROR(__xludf.dummyfunction("""COMPUTED_VALUE"""),4)</f>
        <v>4</v>
      </c>
      <c r="G36" s="3"/>
      <c r="H36" s="3"/>
      <c r="I36" s="3" t="n">
        <f aca="false">IFERROR(__xludf.dummyfunction("""COMPUTED_VALUE"""),4)</f>
        <v>4</v>
      </c>
      <c r="J36" s="3"/>
      <c r="K36" s="3"/>
      <c r="L36" s="4" t="n">
        <f aca="false">IFERROR(__xludf.dummyfunction("""COMPUTED_VALUE"""),12)</f>
        <v>12</v>
      </c>
      <c r="M36" s="3" t="n">
        <f aca="false">IFERROR(__xludf.dummyfunction("""COMPUTED_VALUE"""),3.5)</f>
        <v>3.5</v>
      </c>
      <c r="N36" s="3"/>
      <c r="O36" s="3"/>
      <c r="P36" s="4" t="n">
        <f aca="false">IFERROR(__xludf.dummyfunction("""COMPUTED_VALUE"""),8.15)</f>
        <v>8.15</v>
      </c>
      <c r="Q36" s="3" t="n">
        <f aca="false">IFERROR(__xludf.dummyfunction("""COMPUTED_VALUE"""),4)</f>
        <v>4</v>
      </c>
      <c r="R36" s="3"/>
      <c r="S36" s="3"/>
      <c r="T36" s="4" t="n">
        <f aca="false">IFERROR(__xludf.dummyfunction("""COMPUTED_VALUE"""),10.35)</f>
        <v>10.35</v>
      </c>
      <c r="U36" s="3" t="n">
        <f aca="false">IFERROR(__xludf.dummyfunction("""COMPUTED_VALUE"""),3)</f>
        <v>3</v>
      </c>
      <c r="V36" s="3"/>
      <c r="W36" s="3" t="n">
        <f aca="false">IFERROR(__xludf.dummyfunction("""COMPUTED_VALUE"""),4)</f>
        <v>4</v>
      </c>
      <c r="X36" s="4" t="n">
        <f aca="false">IFERROR(__xludf.dummyfunction("""COMPUTED_VALUE"""),5.55)</f>
        <v>5.55</v>
      </c>
      <c r="Y36" s="3" t="n">
        <f aca="false">IFERROR(__xludf.dummyfunction("""COMPUTED_VALUE"""),4)</f>
        <v>4</v>
      </c>
      <c r="Z36" s="3"/>
      <c r="AA36" s="3"/>
      <c r="AB36" s="4" t="n">
        <f aca="false">IFERROR(__xludf.dummyfunction("""COMPUTED_VALUE"""),11.45)</f>
        <v>11.45</v>
      </c>
      <c r="AC36" s="4" t="n">
        <f aca="false">IFERROR(__xludf.dummyfunction("""COMPUTED_VALUE"""),47.5)</f>
        <v>47.5</v>
      </c>
      <c r="AD36" s="3" t="n">
        <f aca="false">IFERROR(__xludf.dummyfunction("""COMPUTED_VALUE"""),42)</f>
        <v>42</v>
      </c>
    </row>
    <row r="37" customFormat="false" ht="15.75" hidden="false" customHeight="false" outlineLevel="0" collapsed="false">
      <c r="A37" s="3" t="n">
        <f aca="false">IFERROR(__xludf.dummyfunction("""COMPUTED_VALUE"""),46)</f>
        <v>46</v>
      </c>
      <c r="B37" s="3" t="str">
        <f aca="false">IFERROR(__xludf.dummyfunction("""COMPUTED_VALUE"""),"Zara")</f>
        <v>Zara</v>
      </c>
      <c r="C37" s="3" t="str">
        <f aca="false">IFERROR(__xludf.dummyfunction("""COMPUTED_VALUE"""),"Olliff")</f>
        <v>Olliff</v>
      </c>
      <c r="D37" s="3" t="str">
        <f aca="false">IFERROR(__xludf.dummyfunction("""COMPUTED_VALUE"""),"WAT GC")</f>
        <v>WAT GC</v>
      </c>
      <c r="E37" s="3" t="str">
        <f aca="false">IFERROR(__xludf.dummyfunction("""COMPUTED_VALUE"""),"Grade 5")</f>
        <v>Grade 5</v>
      </c>
      <c r="F37" s="3" t="n">
        <f aca="false">IFERROR(__xludf.dummyfunction("""COMPUTED_VALUE"""),4)</f>
        <v>4</v>
      </c>
      <c r="G37" s="3"/>
      <c r="H37" s="3"/>
      <c r="I37" s="3" t="n">
        <f aca="false">IFERROR(__xludf.dummyfunction("""COMPUTED_VALUE"""),4)</f>
        <v>4</v>
      </c>
      <c r="J37" s="3"/>
      <c r="K37" s="3"/>
      <c r="L37" s="4" t="n">
        <f aca="false">IFERROR(__xludf.dummyfunction("""COMPUTED_VALUE"""),12.15)</f>
        <v>12.15</v>
      </c>
      <c r="M37" s="3" t="n">
        <f aca="false">IFERROR(__xludf.dummyfunction("""COMPUTED_VALUE"""),4)</f>
        <v>4</v>
      </c>
      <c r="N37" s="3"/>
      <c r="O37" s="3"/>
      <c r="P37" s="4" t="n">
        <f aca="false">IFERROR(__xludf.dummyfunction("""COMPUTED_VALUE"""),10.55)</f>
        <v>10.55</v>
      </c>
      <c r="Q37" s="3" t="n">
        <f aca="false">IFERROR(__xludf.dummyfunction("""COMPUTED_VALUE"""),4)</f>
        <v>4</v>
      </c>
      <c r="R37" s="3"/>
      <c r="S37" s="3"/>
      <c r="T37" s="4" t="n">
        <f aca="false">IFERROR(__xludf.dummyfunction("""COMPUTED_VALUE"""),11.15)</f>
        <v>11.15</v>
      </c>
      <c r="U37" s="3" t="n">
        <f aca="false">IFERROR(__xludf.dummyfunction("""COMPUTED_VALUE"""),4)</f>
        <v>4</v>
      </c>
      <c r="V37" s="3"/>
      <c r="W37" s="3"/>
      <c r="X37" s="4" t="n">
        <f aca="false">IFERROR(__xludf.dummyfunction("""COMPUTED_VALUE"""),10.85)</f>
        <v>10.85</v>
      </c>
      <c r="Y37" s="3" t="n">
        <f aca="false">IFERROR(__xludf.dummyfunction("""COMPUTED_VALUE"""),3.5)</f>
        <v>3.5</v>
      </c>
      <c r="Z37" s="3"/>
      <c r="AA37" s="3"/>
      <c r="AB37" s="4" t="n">
        <f aca="false">IFERROR(__xludf.dummyfunction("""COMPUTED_VALUE"""),10.8)</f>
        <v>10.8</v>
      </c>
      <c r="AC37" s="4" t="n">
        <f aca="false">IFERROR(__xludf.dummyfunction("""COMPUTED_VALUE"""),55.5)</f>
        <v>55.5</v>
      </c>
      <c r="AD37" s="3" t="n">
        <f aca="false">IFERROR(__xludf.dummyfunction("""COMPUTED_VALUE"""),20)</f>
        <v>20</v>
      </c>
    </row>
    <row r="38" customFormat="false" ht="15.75" hidden="false" customHeight="false" outlineLevel="0" collapsed="false">
      <c r="A38" s="3" t="n">
        <f aca="false">IFERROR(__xludf.dummyfunction("""COMPUTED_VALUE"""),47)</f>
        <v>47</v>
      </c>
      <c r="B38" s="3" t="str">
        <f aca="false">IFERROR(__xludf.dummyfunction("""COMPUTED_VALUE"""),"Alice")</f>
        <v>Alice</v>
      </c>
      <c r="C38" s="3" t="str">
        <f aca="false">IFERROR(__xludf.dummyfunction("""COMPUTED_VALUE"""),"Jones")</f>
        <v>Jones</v>
      </c>
      <c r="D38" s="3" t="str">
        <f aca="false">IFERROR(__xludf.dummyfunction("""COMPUTED_VALUE"""),"WAT GC")</f>
        <v>WAT GC</v>
      </c>
      <c r="E38" s="3" t="str">
        <f aca="false">IFERROR(__xludf.dummyfunction("""COMPUTED_VALUE"""),"Grade 5")</f>
        <v>Grade 5</v>
      </c>
      <c r="F38" s="3" t="n">
        <f aca="false">IFERROR(__xludf.dummyfunction("""COMPUTED_VALUE"""),4)</f>
        <v>4</v>
      </c>
      <c r="G38" s="3"/>
      <c r="H38" s="3"/>
      <c r="I38" s="3" t="n">
        <f aca="false">IFERROR(__xludf.dummyfunction("""COMPUTED_VALUE"""),4)</f>
        <v>4</v>
      </c>
      <c r="J38" s="3"/>
      <c r="K38" s="3"/>
      <c r="L38" s="4" t="n">
        <f aca="false">IFERROR(__xludf.dummyfunction("""COMPUTED_VALUE"""),12.05)</f>
        <v>12.05</v>
      </c>
      <c r="M38" s="3" t="n">
        <f aca="false">IFERROR(__xludf.dummyfunction("""COMPUTED_VALUE"""),4)</f>
        <v>4</v>
      </c>
      <c r="N38" s="3"/>
      <c r="O38" s="3"/>
      <c r="P38" s="4" t="n">
        <f aca="false">IFERROR(__xludf.dummyfunction("""COMPUTED_VALUE"""),10.2)</f>
        <v>10.2</v>
      </c>
      <c r="Q38" s="3" t="n">
        <f aca="false">IFERROR(__xludf.dummyfunction("""COMPUTED_VALUE"""),4)</f>
        <v>4</v>
      </c>
      <c r="R38" s="3"/>
      <c r="S38" s="3"/>
      <c r="T38" s="4" t="n">
        <f aca="false">IFERROR(__xludf.dummyfunction("""COMPUTED_VALUE"""),10.2)</f>
        <v>10.2</v>
      </c>
      <c r="U38" s="3" t="n">
        <f aca="false">IFERROR(__xludf.dummyfunction("""COMPUTED_VALUE"""),4)</f>
        <v>4</v>
      </c>
      <c r="V38" s="3"/>
      <c r="W38" s="3"/>
      <c r="X38" s="4" t="n">
        <f aca="false">IFERROR(__xludf.dummyfunction("""COMPUTED_VALUE"""),10.55)</f>
        <v>10.55</v>
      </c>
      <c r="Y38" s="3" t="n">
        <f aca="false">IFERROR(__xludf.dummyfunction("""COMPUTED_VALUE"""),4)</f>
        <v>4</v>
      </c>
      <c r="Z38" s="3"/>
      <c r="AA38" s="3"/>
      <c r="AB38" s="4" t="n">
        <f aca="false">IFERROR(__xludf.dummyfunction("""COMPUTED_VALUE"""),9.85)</f>
        <v>9.85</v>
      </c>
      <c r="AC38" s="4" t="n">
        <f aca="false">IFERROR(__xludf.dummyfunction("""COMPUTED_VALUE"""),52.85)</f>
        <v>52.85</v>
      </c>
      <c r="AD38" s="3" t="n">
        <f aca="false">IFERROR(__xludf.dummyfunction("""COMPUTED_VALUE"""),33)</f>
        <v>33</v>
      </c>
    </row>
    <row r="39" customFormat="false" ht="15.75" hidden="false" customHeight="false" outlineLevel="0" collapsed="false">
      <c r="A39" s="3" t="n">
        <f aca="false">IFERROR(__xludf.dummyfunction("""COMPUTED_VALUE"""),48)</f>
        <v>48</v>
      </c>
      <c r="B39" s="3" t="str">
        <f aca="false">IFERROR(__xludf.dummyfunction("""COMPUTED_VALUE"""),"Italia")</f>
        <v>Italia</v>
      </c>
      <c r="C39" s="3" t="str">
        <f aca="false">IFERROR(__xludf.dummyfunction("""COMPUTED_VALUE"""),"Cullers")</f>
        <v>Cullers</v>
      </c>
      <c r="D39" s="3" t="str">
        <f aca="false">IFERROR(__xludf.dummyfunction("""COMPUTED_VALUE"""),"WAT GC")</f>
        <v>WAT GC</v>
      </c>
      <c r="E39" s="3" t="str">
        <f aca="false">IFERROR(__xludf.dummyfunction("""COMPUTED_VALUE"""),"Grade 5")</f>
        <v>Grade 5</v>
      </c>
      <c r="F39" s="3" t="n">
        <f aca="false">IFERROR(__xludf.dummyfunction("""COMPUTED_VALUE"""),4)</f>
        <v>4</v>
      </c>
      <c r="G39" s="3"/>
      <c r="H39" s="3"/>
      <c r="I39" s="3" t="n">
        <f aca="false">IFERROR(__xludf.dummyfunction("""COMPUTED_VALUE"""),4)</f>
        <v>4</v>
      </c>
      <c r="J39" s="3"/>
      <c r="K39" s="3"/>
      <c r="L39" s="4" t="n">
        <f aca="false">IFERROR(__xludf.dummyfunction("""COMPUTED_VALUE"""),11.95)</f>
        <v>11.95</v>
      </c>
      <c r="M39" s="3" t="n">
        <f aca="false">IFERROR(__xludf.dummyfunction("""COMPUTED_VALUE"""),3.5)</f>
        <v>3.5</v>
      </c>
      <c r="N39" s="3"/>
      <c r="O39" s="3"/>
      <c r="P39" s="4" t="n">
        <f aca="false">IFERROR(__xludf.dummyfunction("""COMPUTED_VALUE"""),8.8)</f>
        <v>8.8</v>
      </c>
      <c r="Q39" s="3" t="n">
        <f aca="false">IFERROR(__xludf.dummyfunction("""COMPUTED_VALUE"""),4)</f>
        <v>4</v>
      </c>
      <c r="R39" s="3"/>
      <c r="S39" s="3"/>
      <c r="T39" s="4" t="n">
        <f aca="false">IFERROR(__xludf.dummyfunction("""COMPUTED_VALUE"""),9.7)</f>
        <v>9.7</v>
      </c>
      <c r="U39" s="3" t="n">
        <f aca="false">IFERROR(__xludf.dummyfunction("""COMPUTED_VALUE"""),4)</f>
        <v>4</v>
      </c>
      <c r="V39" s="3"/>
      <c r="W39" s="3"/>
      <c r="X39" s="4" t="n">
        <f aca="false">IFERROR(__xludf.dummyfunction("""COMPUTED_VALUE"""),10.6)</f>
        <v>10.6</v>
      </c>
      <c r="Y39" s="3" t="n">
        <f aca="false">IFERROR(__xludf.dummyfunction("""COMPUTED_VALUE"""),4)</f>
        <v>4</v>
      </c>
      <c r="Z39" s="3"/>
      <c r="AA39" s="3"/>
      <c r="AB39" s="4" t="n">
        <f aca="false">IFERROR(__xludf.dummyfunction("""COMPUTED_VALUE"""),10.55)</f>
        <v>10.55</v>
      </c>
      <c r="AC39" s="4" t="n">
        <f aca="false">IFERROR(__xludf.dummyfunction("""COMPUTED_VALUE"""),51.6)</f>
        <v>51.6</v>
      </c>
      <c r="AD39" s="3" t="n">
        <f aca="false">IFERROR(__xludf.dummyfunction("""COMPUTED_VALUE"""),34)</f>
        <v>34</v>
      </c>
    </row>
    <row r="40" customFormat="false" ht="15.75" hidden="false" customHeight="false" outlineLevel="0" collapsed="false">
      <c r="A40" s="3" t="n">
        <f aca="false">IFERROR(__xludf.dummyfunction("""COMPUTED_VALUE"""),49)</f>
        <v>49</v>
      </c>
      <c r="B40" s="3" t="str">
        <f aca="false">IFERROR(__xludf.dummyfunction("""COMPUTED_VALUE"""),"Charlotte")</f>
        <v>Charlotte</v>
      </c>
      <c r="C40" s="3" t="str">
        <f aca="false">IFERROR(__xludf.dummyfunction("""COMPUTED_VALUE"""),"Aston")</f>
        <v>Aston</v>
      </c>
      <c r="D40" s="3" t="str">
        <f aca="false">IFERROR(__xludf.dummyfunction("""COMPUTED_VALUE"""),"WAT GC")</f>
        <v>WAT GC</v>
      </c>
      <c r="E40" s="3" t="str">
        <f aca="false">IFERROR(__xludf.dummyfunction("""COMPUTED_VALUE"""),"Grade 5")</f>
        <v>Grade 5</v>
      </c>
      <c r="F40" s="3" t="str">
        <f aca="false">IFERROR(__xludf.dummyfunction("""COMPUTED_VALUE"""),"Withdrawn")</f>
        <v>Withdrawn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customFormat="false" ht="15.75" hidden="false" customHeight="fals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customFormat="false" ht="15.75" hidden="false" customHeight="fals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customFormat="false" ht="15.75" hidden="false" customHeight="fals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customFormat="false" ht="15.75" hidden="false" customHeight="fals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customFormat="false" ht="15.75" hidden="false" customHeight="fals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customFormat="false" ht="15.75" hidden="false" customHeight="fals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customFormat="false" ht="15.75" hidden="false" customHeight="fals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customFormat="false" ht="15.75" hidden="false" customHeight="fals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</sheetData>
  <mergeCells count="1">
    <mergeCell ref="A1:AD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45"/>
  <sheetViews>
    <sheetView showFormulas="false" showGridLines="true" showRowColHeaders="true" showZeros="true" rightToLeft="false" tabSelected="false" showOutlineSymbols="true" defaultGridColor="true" view="normal" topLeftCell="D4" colorId="64" zoomScale="100" zoomScaleNormal="100" zoomScalePageLayoutView="100" workbookViewId="0">
      <selection pane="topLeft" activeCell="A7" activeCellId="0" sqref="A7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8.75"/>
    <col collapsed="false" customWidth="true" hidden="false" outlineLevel="0" max="3" min="3" style="0" width="10"/>
    <col collapsed="false" customWidth="true" hidden="false" outlineLevel="0" max="4" min="4" style="0" width="9.38"/>
    <col collapsed="false" customWidth="false" hidden="true" outlineLevel="0" max="5" min="5" style="0" width="12.63"/>
    <col collapsed="false" customWidth="true" hidden="false" outlineLevel="0" max="6" min="6" style="0" width="4.63"/>
    <col collapsed="false" customWidth="true" hidden="false" outlineLevel="0" max="7" min="7" style="0" width="3.5"/>
    <col collapsed="false" customWidth="true" hidden="false" outlineLevel="0" max="8" min="8" style="0" width="4.75"/>
    <col collapsed="false" customWidth="true" hidden="false" outlineLevel="0" max="9" min="9" style="0" width="4.63"/>
    <col collapsed="false" customWidth="true" hidden="false" outlineLevel="0" max="10" min="10" style="0" width="3.5"/>
    <col collapsed="false" customWidth="true" hidden="false" outlineLevel="0" max="11" min="11" style="0" width="4.75"/>
    <col collapsed="false" customWidth="true" hidden="false" outlineLevel="0" max="13" min="13" style="0" width="3.25"/>
    <col collapsed="false" customWidth="true" hidden="false" outlineLevel="0" max="14" min="14" style="0" width="2.12"/>
    <col collapsed="false" customWidth="true" hidden="false" outlineLevel="0" max="15" min="15" style="0" width="3.37"/>
    <col collapsed="false" customWidth="true" hidden="false" outlineLevel="0" max="17" min="17" style="0" width="3.25"/>
    <col collapsed="false" customWidth="true" hidden="false" outlineLevel="0" max="18" min="18" style="0" width="2.12"/>
    <col collapsed="false" customWidth="true" hidden="false" outlineLevel="0" max="19" min="19" style="0" width="3.37"/>
    <col collapsed="false" customWidth="true" hidden="false" outlineLevel="0" max="21" min="21" style="0" width="3.25"/>
    <col collapsed="false" customWidth="true" hidden="false" outlineLevel="0" max="22" min="22" style="0" width="2.12"/>
    <col collapsed="false" customWidth="true" hidden="false" outlineLevel="0" max="23" min="23" style="0" width="3.37"/>
    <col collapsed="false" customWidth="true" hidden="false" outlineLevel="0" max="25" min="25" style="0" width="3.25"/>
    <col collapsed="false" customWidth="true" hidden="false" outlineLevel="0" max="26" min="26" style="0" width="2.12"/>
    <col collapsed="false" customWidth="true" hidden="false" outlineLevel="0" max="27" min="27" style="0" width="3.37"/>
    <col collapsed="false" customWidth="true" hidden="false" outlineLevel="0" max="30" min="30" style="0" width="3.88"/>
  </cols>
  <sheetData>
    <row r="1" customFormat="false" ht="15.75" hidden="false" customHeight="false" outlineLevel="0" collapsed="false">
      <c r="A1" s="1" t="str">
        <f aca="false">IFERROR(__xludf.dummyfunction("IMPORTRANGE(""https://docs.google.com/spreadsheets/d/12hYoABwbIKZWH999TWWKy4O4jwUQxKKoQeVE5C79uUA/edit#gid=145122673"",""Grade 6 Results!A1:AD45"")"),"Grade 6")</f>
        <v>Grade 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customFormat="false" ht="15.75" hidden="false" customHeight="false" outlineLevel="0" collapsed="false">
      <c r="A2" s="3" t="str">
        <f aca="false">IFERROR(__xludf.dummyfunction("""COMPUTED_VALUE"""),"No.")</f>
        <v>No.</v>
      </c>
      <c r="B2" s="3" t="str">
        <f aca="false">IFERROR(__xludf.dummyfunction("""COMPUTED_VALUE"""),"Name")</f>
        <v>Name</v>
      </c>
      <c r="C2" s="3"/>
      <c r="D2" s="3" t="str">
        <f aca="false">IFERROR(__xludf.dummyfunction("""COMPUTED_VALUE"""),"Club")</f>
        <v>Club</v>
      </c>
      <c r="E2" s="3" t="str">
        <f aca="false">IFERROR(__xludf.dummyfunction("""COMPUTED_VALUE"""),"Level")</f>
        <v>Level</v>
      </c>
      <c r="F2" s="3" t="str">
        <f aca="false">IFERROR(__xludf.dummyfunction("""COMPUTED_VALUE"""),"1 SV")</f>
        <v>1 SV</v>
      </c>
      <c r="G2" s="3" t="str">
        <f aca="false">IFERROR(__xludf.dummyfunction("""COMPUTED_VALUE"""),"1 B")</f>
        <v>1 B</v>
      </c>
      <c r="H2" s="3" t="str">
        <f aca="false">IFERROR(__xludf.dummyfunction("""COMPUTED_VALUE"""),"1 ND")</f>
        <v>1 ND</v>
      </c>
      <c r="I2" s="3" t="str">
        <f aca="false">IFERROR(__xludf.dummyfunction("""COMPUTED_VALUE"""),"2 SV")</f>
        <v>2 SV</v>
      </c>
      <c r="J2" s="3" t="str">
        <f aca="false">IFERROR(__xludf.dummyfunction("""COMPUTED_VALUE"""),"2 B")</f>
        <v>2 B</v>
      </c>
      <c r="K2" s="3" t="str">
        <f aca="false">IFERROR(__xludf.dummyfunction("""COMPUTED_VALUE"""),"2 ND")</f>
        <v>2 ND</v>
      </c>
      <c r="L2" s="3" t="str">
        <f aca="false">IFERROR(__xludf.dummyfunction("""COMPUTED_VALUE"""),"Vault")</f>
        <v>Vault</v>
      </c>
      <c r="M2" s="3" t="str">
        <f aca="false">IFERROR(__xludf.dummyfunction("""COMPUTED_VALUE"""),"SV")</f>
        <v>SV</v>
      </c>
      <c r="N2" s="3" t="str">
        <f aca="false">IFERROR(__xludf.dummyfunction("""COMPUTED_VALUE"""),"B")</f>
        <v>B</v>
      </c>
      <c r="O2" s="3" t="str">
        <f aca="false">IFERROR(__xludf.dummyfunction("""COMPUTED_VALUE"""),"ND")</f>
        <v>ND</v>
      </c>
      <c r="P2" s="3" t="str">
        <f aca="false">IFERROR(__xludf.dummyfunction("""COMPUTED_VALUE"""),"Bars")</f>
        <v>Bars</v>
      </c>
      <c r="Q2" s="3" t="str">
        <f aca="false">IFERROR(__xludf.dummyfunction("""COMPUTED_VALUE"""),"SV")</f>
        <v>SV</v>
      </c>
      <c r="R2" s="3" t="str">
        <f aca="false">IFERROR(__xludf.dummyfunction("""COMPUTED_VALUE"""),"B")</f>
        <v>B</v>
      </c>
      <c r="S2" s="3" t="str">
        <f aca="false">IFERROR(__xludf.dummyfunction("""COMPUTED_VALUE"""),"ND")</f>
        <v>ND</v>
      </c>
      <c r="T2" s="3" t="str">
        <f aca="false">IFERROR(__xludf.dummyfunction("""COMPUTED_VALUE"""),"Beam")</f>
        <v>Beam</v>
      </c>
      <c r="U2" s="3" t="str">
        <f aca="false">IFERROR(__xludf.dummyfunction("""COMPUTED_VALUE"""),"SV")</f>
        <v>SV</v>
      </c>
      <c r="V2" s="3" t="str">
        <f aca="false">IFERROR(__xludf.dummyfunction("""COMPUTED_VALUE"""),"B")</f>
        <v>B</v>
      </c>
      <c r="W2" s="3" t="str">
        <f aca="false">IFERROR(__xludf.dummyfunction("""COMPUTED_VALUE"""),"ND")</f>
        <v>ND</v>
      </c>
      <c r="X2" s="3" t="str">
        <f aca="false">IFERROR(__xludf.dummyfunction("""COMPUTED_VALUE"""),"Floor")</f>
        <v>Floor</v>
      </c>
      <c r="Y2" s="3" t="str">
        <f aca="false">IFERROR(__xludf.dummyfunction("""COMPUTED_VALUE"""),"SV")</f>
        <v>SV</v>
      </c>
      <c r="Z2" s="3" t="str">
        <f aca="false">IFERROR(__xludf.dummyfunction("""COMPUTED_VALUE"""),"B")</f>
        <v>B</v>
      </c>
      <c r="AA2" s="3" t="str">
        <f aca="false">IFERROR(__xludf.dummyfunction("""COMPUTED_VALUE"""),"ND")</f>
        <v>ND</v>
      </c>
      <c r="AB2" s="3" t="str">
        <f aca="false">IFERROR(__xludf.dummyfunction("""COMPUTED_VALUE"""),"R&amp;C")</f>
        <v>R&amp;C</v>
      </c>
      <c r="AC2" s="3" t="str">
        <f aca="false">IFERROR(__xludf.dummyfunction("""COMPUTED_VALUE"""),"Total")</f>
        <v>Total</v>
      </c>
      <c r="AD2" s="3" t="str">
        <f aca="false">IFERROR(__xludf.dummyfunction("""COMPUTED_VALUE"""),"Pos")</f>
        <v>Pos</v>
      </c>
    </row>
    <row r="3" customFormat="false" ht="15.75" hidden="false" customHeight="false" outlineLevel="0" collapsed="false">
      <c r="A3" s="3" t="n">
        <f aca="false">IFERROR(__xludf.dummyfunction("""COMPUTED_VALUE"""),25)</f>
        <v>25</v>
      </c>
      <c r="B3" s="3" t="str">
        <f aca="false">IFERROR(__xludf.dummyfunction("""COMPUTED_VALUE"""),"Isabella")</f>
        <v>Isabella</v>
      </c>
      <c r="C3" s="3" t="str">
        <f aca="false">IFERROR(__xludf.dummyfunction("""COMPUTED_VALUE"""),"Grayston")</f>
        <v>Grayston</v>
      </c>
      <c r="D3" s="3" t="str">
        <f aca="false">IFERROR(__xludf.dummyfunction("""COMPUTED_VALUE"""),"ALTON GC")</f>
        <v>ALTON GC</v>
      </c>
      <c r="E3" s="3" t="str">
        <f aca="false">IFERROR(__xludf.dummyfunction("""COMPUTED_VALUE"""),"Grade 6")</f>
        <v>Grade 6</v>
      </c>
      <c r="F3" s="3" t="n">
        <f aca="false">IFERROR(__xludf.dummyfunction("""COMPUTED_VALUE"""),4)</f>
        <v>4</v>
      </c>
      <c r="G3" s="3"/>
      <c r="H3" s="3"/>
      <c r="I3" s="3" t="n">
        <f aca="false">IFERROR(__xludf.dummyfunction("""COMPUTED_VALUE"""),4)</f>
        <v>4</v>
      </c>
      <c r="J3" s="3"/>
      <c r="K3" s="3"/>
      <c r="L3" s="4" t="n">
        <f aca="false">IFERROR(__xludf.dummyfunction("""COMPUTED_VALUE"""),12.95)</f>
        <v>12.95</v>
      </c>
      <c r="M3" s="3" t="n">
        <f aca="false">IFERROR(__xludf.dummyfunction("""COMPUTED_VALUE"""),4)</f>
        <v>4</v>
      </c>
      <c r="N3" s="3"/>
      <c r="O3" s="3"/>
      <c r="P3" s="4" t="n">
        <f aca="false">IFERROR(__xludf.dummyfunction("""COMPUTED_VALUE"""),12.3)</f>
        <v>12.3</v>
      </c>
      <c r="Q3" s="3" t="n">
        <f aca="false">IFERROR(__xludf.dummyfunction("""COMPUTED_VALUE"""),4)</f>
        <v>4</v>
      </c>
      <c r="R3" s="3"/>
      <c r="S3" s="3"/>
      <c r="T3" s="4" t="n">
        <f aca="false">IFERROR(__xludf.dummyfunction("""COMPUTED_VALUE"""),11.8)</f>
        <v>11.8</v>
      </c>
      <c r="U3" s="3" t="n">
        <f aca="false">IFERROR(__xludf.dummyfunction("""COMPUTED_VALUE"""),4)</f>
        <v>4</v>
      </c>
      <c r="V3" s="3"/>
      <c r="W3" s="3"/>
      <c r="X3" s="4" t="n">
        <f aca="false">IFERROR(__xludf.dummyfunction("""COMPUTED_VALUE"""),10.8)</f>
        <v>10.8</v>
      </c>
      <c r="Y3" s="3" t="n">
        <f aca="false">IFERROR(__xludf.dummyfunction("""COMPUTED_VALUE"""),4)</f>
        <v>4</v>
      </c>
      <c r="Z3" s="3"/>
      <c r="AA3" s="3"/>
      <c r="AB3" s="4" t="n">
        <f aca="false">IFERROR(__xludf.dummyfunction("""COMPUTED_VALUE"""),10.85)</f>
        <v>10.85</v>
      </c>
      <c r="AC3" s="4" t="n">
        <f aca="false">IFERROR(__xludf.dummyfunction("""COMPUTED_VALUE"""),58.7)</f>
        <v>58.7</v>
      </c>
      <c r="AD3" s="3" t="n">
        <f aca="false">IFERROR(__xludf.dummyfunction("""COMPUTED_VALUE"""),15)</f>
        <v>15</v>
      </c>
    </row>
    <row r="4" customFormat="false" ht="15.75" hidden="false" customHeight="false" outlineLevel="0" collapsed="false">
      <c r="A4" s="3" t="n">
        <f aca="false">IFERROR(__xludf.dummyfunction("""COMPUTED_VALUE"""),26)</f>
        <v>26</v>
      </c>
      <c r="B4" s="3" t="str">
        <f aca="false">IFERROR(__xludf.dummyfunction("""COMPUTED_VALUE"""),"Amalya")</f>
        <v>Amalya</v>
      </c>
      <c r="C4" s="3" t="str">
        <f aca="false">IFERROR(__xludf.dummyfunction("""COMPUTED_VALUE"""),"Saunders")</f>
        <v>Saunders</v>
      </c>
      <c r="D4" s="3" t="str">
        <f aca="false">IFERROR(__xludf.dummyfunction("""COMPUTED_VALUE"""),"ALTON GC")</f>
        <v>ALTON GC</v>
      </c>
      <c r="E4" s="3" t="str">
        <f aca="false">IFERROR(__xludf.dummyfunction("""COMPUTED_VALUE"""),"Grade 6")</f>
        <v>Grade 6</v>
      </c>
      <c r="F4" s="3" t="n">
        <f aca="false">IFERROR(__xludf.dummyfunction("""COMPUTED_VALUE"""),4)</f>
        <v>4</v>
      </c>
      <c r="G4" s="3"/>
      <c r="H4" s="3"/>
      <c r="I4" s="3" t="n">
        <f aca="false">IFERROR(__xludf.dummyfunction("""COMPUTED_VALUE"""),4)</f>
        <v>4</v>
      </c>
      <c r="J4" s="3"/>
      <c r="K4" s="3"/>
      <c r="L4" s="4" t="n">
        <f aca="false">IFERROR(__xludf.dummyfunction("""COMPUTED_VALUE"""),12.55)</f>
        <v>12.55</v>
      </c>
      <c r="M4" s="3" t="n">
        <f aca="false">IFERROR(__xludf.dummyfunction("""COMPUTED_VALUE"""),4)</f>
        <v>4</v>
      </c>
      <c r="N4" s="3"/>
      <c r="O4" s="3"/>
      <c r="P4" s="4" t="n">
        <f aca="false">IFERROR(__xludf.dummyfunction("""COMPUTED_VALUE"""),10.2)</f>
        <v>10.2</v>
      </c>
      <c r="Q4" s="3" t="n">
        <f aca="false">IFERROR(__xludf.dummyfunction("""COMPUTED_VALUE"""),3.5)</f>
        <v>3.5</v>
      </c>
      <c r="R4" s="3"/>
      <c r="S4" s="3"/>
      <c r="T4" s="4" t="n">
        <f aca="false">IFERROR(__xludf.dummyfunction("""COMPUTED_VALUE"""),9.4)</f>
        <v>9.4</v>
      </c>
      <c r="U4" s="3" t="n">
        <f aca="false">IFERROR(__xludf.dummyfunction("""COMPUTED_VALUE"""),4)</f>
        <v>4</v>
      </c>
      <c r="V4" s="3"/>
      <c r="W4" s="3"/>
      <c r="X4" s="4" t="n">
        <f aca="false">IFERROR(__xludf.dummyfunction("""COMPUTED_VALUE"""),10.25)</f>
        <v>10.25</v>
      </c>
      <c r="Y4" s="3" t="n">
        <f aca="false">IFERROR(__xludf.dummyfunction("""COMPUTED_VALUE"""),2.5)</f>
        <v>2.5</v>
      </c>
      <c r="Z4" s="3"/>
      <c r="AA4" s="3"/>
      <c r="AB4" s="4" t="n">
        <f aca="false">IFERROR(__xludf.dummyfunction("""COMPUTED_VALUE"""),10.2)</f>
        <v>10.2</v>
      </c>
      <c r="AC4" s="4" t="n">
        <f aca="false">IFERROR(__xludf.dummyfunction("""COMPUTED_VALUE"""),52.6)</f>
        <v>52.6</v>
      </c>
      <c r="AD4" s="3" t="n">
        <f aca="false">IFERROR(__xludf.dummyfunction("""COMPUTED_VALUE"""),32)</f>
        <v>32</v>
      </c>
    </row>
    <row r="5" customFormat="false" ht="15.75" hidden="false" customHeight="false" outlineLevel="0" collapsed="false">
      <c r="A5" s="3" t="n">
        <f aca="false">IFERROR(__xludf.dummyfunction("""COMPUTED_VALUE"""),27)</f>
        <v>27</v>
      </c>
      <c r="B5" s="3" t="str">
        <f aca="false">IFERROR(__xludf.dummyfunction("""COMPUTED_VALUE"""),"Lauren")</f>
        <v>Lauren</v>
      </c>
      <c r="C5" s="3" t="str">
        <f aca="false">IFERROR(__xludf.dummyfunction("""COMPUTED_VALUE"""),"Koradi")</f>
        <v>Koradi</v>
      </c>
      <c r="D5" s="3" t="str">
        <f aca="false">IFERROR(__xludf.dummyfunction("""COMPUTED_VALUE"""),"ALTON GC")</f>
        <v>ALTON GC</v>
      </c>
      <c r="E5" s="3" t="str">
        <f aca="false">IFERROR(__xludf.dummyfunction("""COMPUTED_VALUE"""),"Grade 6")</f>
        <v>Grade 6</v>
      </c>
      <c r="F5" s="3" t="n">
        <f aca="false">IFERROR(__xludf.dummyfunction("""COMPUTED_VALUE"""),4)</f>
        <v>4</v>
      </c>
      <c r="G5" s="3"/>
      <c r="H5" s="3"/>
      <c r="I5" s="3" t="n">
        <f aca="false">IFERROR(__xludf.dummyfunction("""COMPUTED_VALUE"""),4)</f>
        <v>4</v>
      </c>
      <c r="J5" s="3"/>
      <c r="K5" s="3"/>
      <c r="L5" s="4" t="n">
        <f aca="false">IFERROR(__xludf.dummyfunction("""COMPUTED_VALUE"""),12.6)</f>
        <v>12.6</v>
      </c>
      <c r="M5" s="3" t="n">
        <f aca="false">IFERROR(__xludf.dummyfunction("""COMPUTED_VALUE"""),4)</f>
        <v>4</v>
      </c>
      <c r="N5" s="3"/>
      <c r="O5" s="3"/>
      <c r="P5" s="4" t="n">
        <f aca="false">IFERROR(__xludf.dummyfunction("""COMPUTED_VALUE"""),11.4)</f>
        <v>11.4</v>
      </c>
      <c r="Q5" s="3" t="n">
        <f aca="false">IFERROR(__xludf.dummyfunction("""COMPUTED_VALUE"""),4)</f>
        <v>4</v>
      </c>
      <c r="R5" s="3"/>
      <c r="S5" s="3"/>
      <c r="T5" s="4" t="n">
        <f aca="false">IFERROR(__xludf.dummyfunction("""COMPUTED_VALUE"""),11.4)</f>
        <v>11.4</v>
      </c>
      <c r="U5" s="3" t="n">
        <f aca="false">IFERROR(__xludf.dummyfunction("""COMPUTED_VALUE"""),4)</f>
        <v>4</v>
      </c>
      <c r="V5" s="3"/>
      <c r="W5" s="3"/>
      <c r="X5" s="4" t="n">
        <f aca="false">IFERROR(__xludf.dummyfunction("""COMPUTED_VALUE"""),10.2)</f>
        <v>10.2</v>
      </c>
      <c r="Y5" s="3" t="n">
        <f aca="false">IFERROR(__xludf.dummyfunction("""COMPUTED_VALUE"""),4)</f>
        <v>4</v>
      </c>
      <c r="Z5" s="3"/>
      <c r="AA5" s="3"/>
      <c r="AB5" s="4" t="n">
        <f aca="false">IFERROR(__xludf.dummyfunction("""COMPUTED_VALUE"""),11.65)</f>
        <v>11.65</v>
      </c>
      <c r="AC5" s="4" t="n">
        <f aca="false">IFERROR(__xludf.dummyfunction("""COMPUTED_VALUE"""),57.25)</f>
        <v>57.25</v>
      </c>
      <c r="AD5" s="3" t="n">
        <f aca="false">IFERROR(__xludf.dummyfunction("""COMPUTED_VALUE"""),17)</f>
        <v>17</v>
      </c>
    </row>
    <row r="6" customFormat="false" ht="15.75" hidden="false" customHeight="false" outlineLevel="0" collapsed="false">
      <c r="A6" s="3" t="n">
        <f aca="false">IFERROR(__xludf.dummyfunction("""COMPUTED_VALUE"""),28)</f>
        <v>28</v>
      </c>
      <c r="B6" s="3" t="str">
        <f aca="false">IFERROR(__xludf.dummyfunction("""COMPUTED_VALUE"""),"Avery")</f>
        <v>Avery</v>
      </c>
      <c r="C6" s="3" t="str">
        <f aca="false">IFERROR(__xludf.dummyfunction("""COMPUTED_VALUE"""),"Harvey")</f>
        <v>Harvey</v>
      </c>
      <c r="D6" s="3" t="str">
        <f aca="false">IFERROR(__xludf.dummyfunction("""COMPUTED_VALUE"""),"ALTON GC")</f>
        <v>ALTON GC</v>
      </c>
      <c r="E6" s="3" t="str">
        <f aca="false">IFERROR(__xludf.dummyfunction("""COMPUTED_VALUE"""),"Grade 6")</f>
        <v>Grade 6</v>
      </c>
      <c r="F6" s="3" t="n">
        <f aca="false">IFERROR(__xludf.dummyfunction("""COMPUTED_VALUE"""),4)</f>
        <v>4</v>
      </c>
      <c r="G6" s="3"/>
      <c r="H6" s="3"/>
      <c r="I6" s="3" t="n">
        <f aca="false">IFERROR(__xludf.dummyfunction("""COMPUTED_VALUE"""),4)</f>
        <v>4</v>
      </c>
      <c r="J6" s="3"/>
      <c r="K6" s="3"/>
      <c r="L6" s="4" t="n">
        <f aca="false">IFERROR(__xludf.dummyfunction("""COMPUTED_VALUE"""),12.55)</f>
        <v>12.55</v>
      </c>
      <c r="M6" s="3" t="n">
        <f aca="false">IFERROR(__xludf.dummyfunction("""COMPUTED_VALUE"""),4)</f>
        <v>4</v>
      </c>
      <c r="N6" s="3"/>
      <c r="O6" s="3"/>
      <c r="P6" s="4" t="n">
        <f aca="false">IFERROR(__xludf.dummyfunction("""COMPUTED_VALUE"""),10.9)</f>
        <v>10.9</v>
      </c>
      <c r="Q6" s="3" t="n">
        <f aca="false">IFERROR(__xludf.dummyfunction("""COMPUTED_VALUE"""),4)</f>
        <v>4</v>
      </c>
      <c r="R6" s="3"/>
      <c r="S6" s="3"/>
      <c r="T6" s="4" t="n">
        <f aca="false">IFERROR(__xludf.dummyfunction("""COMPUTED_VALUE"""),10.9)</f>
        <v>10.9</v>
      </c>
      <c r="U6" s="3" t="n">
        <f aca="false">IFERROR(__xludf.dummyfunction("""COMPUTED_VALUE"""),4)</f>
        <v>4</v>
      </c>
      <c r="V6" s="3"/>
      <c r="W6" s="3"/>
      <c r="X6" s="4" t="n">
        <f aca="false">IFERROR(__xludf.dummyfunction("""COMPUTED_VALUE"""),10.4)</f>
        <v>10.4</v>
      </c>
      <c r="Y6" s="3" t="n">
        <f aca="false">IFERROR(__xludf.dummyfunction("""COMPUTED_VALUE"""),2)</f>
        <v>2</v>
      </c>
      <c r="Z6" s="3"/>
      <c r="AA6" s="3"/>
      <c r="AB6" s="4" t="n">
        <f aca="false">IFERROR(__xludf.dummyfunction("""COMPUTED_VALUE"""),9.75)</f>
        <v>9.75</v>
      </c>
      <c r="AC6" s="4" t="n">
        <f aca="false">IFERROR(__xludf.dummyfunction("""COMPUTED_VALUE"""),54.5)</f>
        <v>54.5</v>
      </c>
      <c r="AD6" s="3" t="n">
        <f aca="false">IFERROR(__xludf.dummyfunction("""COMPUTED_VALUE"""),23)</f>
        <v>23</v>
      </c>
    </row>
    <row r="7" customFormat="false" ht="15.75" hidden="false" customHeight="false" outlineLevel="0" collapsed="false">
      <c r="A7" s="7" t="n">
        <f aca="false">IFERROR(__xludf.dummyfunction("""COMPUTED_VALUE"""),29)</f>
        <v>29</v>
      </c>
      <c r="B7" s="7" t="str">
        <f aca="false">IFERROR(__xludf.dummyfunction("""COMPUTED_VALUE"""),"Philippa")</f>
        <v>Philippa</v>
      </c>
      <c r="C7" s="7" t="str">
        <f aca="false">IFERROR(__xludf.dummyfunction("""COMPUTED_VALUE"""),"Rooney")</f>
        <v>Rooney</v>
      </c>
      <c r="D7" s="7" t="str">
        <f aca="false">IFERROR(__xludf.dummyfunction("""COMPUTED_VALUE"""),"RGA")</f>
        <v>RGA</v>
      </c>
      <c r="E7" s="7" t="str">
        <f aca="false">IFERROR(__xludf.dummyfunction("""COMPUTED_VALUE"""),"Grade 6")</f>
        <v>Grade 6</v>
      </c>
      <c r="F7" s="7" t="n">
        <f aca="false">IFERROR(__xludf.dummyfunction("""COMPUTED_VALUE"""),4)</f>
        <v>4</v>
      </c>
      <c r="G7" s="7"/>
      <c r="H7" s="7"/>
      <c r="I7" s="7" t="n">
        <f aca="false">IFERROR(__xludf.dummyfunction("""COMPUTED_VALUE"""),4)</f>
        <v>4</v>
      </c>
      <c r="J7" s="7"/>
      <c r="K7" s="7"/>
      <c r="L7" s="8" t="n">
        <f aca="false">IFERROR(__xludf.dummyfunction("""COMPUTED_VALUE"""),12.05)</f>
        <v>12.05</v>
      </c>
      <c r="M7" s="7" t="n">
        <f aca="false">IFERROR(__xludf.dummyfunction("""COMPUTED_VALUE"""),4)</f>
        <v>4</v>
      </c>
      <c r="N7" s="7"/>
      <c r="O7" s="7"/>
      <c r="P7" s="8" t="n">
        <f aca="false">IFERROR(__xludf.dummyfunction("""COMPUTED_VALUE"""),11.85)</f>
        <v>11.85</v>
      </c>
      <c r="Q7" s="7" t="n">
        <f aca="false">IFERROR(__xludf.dummyfunction("""COMPUTED_VALUE"""),4)</f>
        <v>4</v>
      </c>
      <c r="R7" s="7"/>
      <c r="S7" s="7"/>
      <c r="T7" s="8" t="n">
        <f aca="false">IFERROR(__xludf.dummyfunction("""COMPUTED_VALUE"""),12.5)</f>
        <v>12.5</v>
      </c>
      <c r="U7" s="7" t="n">
        <f aca="false">IFERROR(__xludf.dummyfunction("""COMPUTED_VALUE"""),3.5)</f>
        <v>3.5</v>
      </c>
      <c r="V7" s="7"/>
      <c r="W7" s="7" t="n">
        <f aca="false">IFERROR(__xludf.dummyfunction("""COMPUTED_VALUE"""),2)</f>
        <v>2</v>
      </c>
      <c r="X7" s="8" t="n">
        <f aca="false">IFERROR(__xludf.dummyfunction("""COMPUTED_VALUE"""),8.35)</f>
        <v>8.35</v>
      </c>
      <c r="Y7" s="7" t="n">
        <f aca="false">IFERROR(__xludf.dummyfunction("""COMPUTED_VALUE"""),3.5)</f>
        <v>3.5</v>
      </c>
      <c r="Z7" s="7"/>
      <c r="AA7" s="7"/>
      <c r="AB7" s="8" t="n">
        <f aca="false">IFERROR(__xludf.dummyfunction("""COMPUTED_VALUE"""),11.6)</f>
        <v>11.6</v>
      </c>
      <c r="AC7" s="8" t="n">
        <f aca="false">IFERROR(__xludf.dummyfunction("""COMPUTED_VALUE"""),56.35)</f>
        <v>56.35</v>
      </c>
      <c r="AD7" s="7" t="n">
        <f aca="false">IFERROR(__xludf.dummyfunction("""COMPUTED_VALUE"""),20)</f>
        <v>20</v>
      </c>
    </row>
    <row r="8" customFormat="false" ht="15.75" hidden="false" customHeight="false" outlineLevel="0" collapsed="false">
      <c r="A8" s="3" t="n">
        <f aca="false">IFERROR(__xludf.dummyfunction("""COMPUTED_VALUE"""),30)</f>
        <v>30</v>
      </c>
      <c r="B8" s="3" t="str">
        <f aca="false">IFERROR(__xludf.dummyfunction("""COMPUTED_VALUE"""),"Ella")</f>
        <v>Ella</v>
      </c>
      <c r="C8" s="3" t="str">
        <f aca="false">IFERROR(__xludf.dummyfunction("""COMPUTED_VALUE"""),"Huckle")</f>
        <v>Huckle</v>
      </c>
      <c r="D8" s="3" t="str">
        <f aca="false">IFERROR(__xludf.dummyfunction("""COMPUTED_VALUE"""),"DYN SG")</f>
        <v>DYN SG</v>
      </c>
      <c r="E8" s="3" t="str">
        <f aca="false">IFERROR(__xludf.dummyfunction("""COMPUTED_VALUE"""),"Grade 6")</f>
        <v>Grade 6</v>
      </c>
      <c r="F8" s="3" t="n">
        <f aca="false">IFERROR(__xludf.dummyfunction("""COMPUTED_VALUE"""),4)</f>
        <v>4</v>
      </c>
      <c r="G8" s="3"/>
      <c r="H8" s="3"/>
      <c r="I8" s="3" t="n">
        <f aca="false">IFERROR(__xludf.dummyfunction("""COMPUTED_VALUE"""),4)</f>
        <v>4</v>
      </c>
      <c r="J8" s="3"/>
      <c r="K8" s="3"/>
      <c r="L8" s="4" t="n">
        <f aca="false">IFERROR(__xludf.dummyfunction("""COMPUTED_VALUE"""),11.95)</f>
        <v>11.95</v>
      </c>
      <c r="M8" s="3" t="n">
        <f aca="false">IFERROR(__xludf.dummyfunction("""COMPUTED_VALUE"""),4)</f>
        <v>4</v>
      </c>
      <c r="N8" s="3"/>
      <c r="O8" s="3"/>
      <c r="P8" s="4" t="n">
        <f aca="false">IFERROR(__xludf.dummyfunction("""COMPUTED_VALUE"""),10.4)</f>
        <v>10.4</v>
      </c>
      <c r="Q8" s="3" t="n">
        <f aca="false">IFERROR(__xludf.dummyfunction("""COMPUTED_VALUE"""),4)</f>
        <v>4</v>
      </c>
      <c r="R8" s="3"/>
      <c r="S8" s="3"/>
      <c r="T8" s="4" t="n">
        <f aca="false">IFERROR(__xludf.dummyfunction("""COMPUTED_VALUE"""),11.7)</f>
        <v>11.7</v>
      </c>
      <c r="U8" s="3" t="n">
        <f aca="false">IFERROR(__xludf.dummyfunction("""COMPUTED_VALUE"""),4)</f>
        <v>4</v>
      </c>
      <c r="V8" s="3"/>
      <c r="W8" s="3"/>
      <c r="X8" s="4" t="n">
        <f aca="false">IFERROR(__xludf.dummyfunction("""COMPUTED_VALUE"""),6.95)</f>
        <v>6.95</v>
      </c>
      <c r="Y8" s="3" t="n">
        <f aca="false">IFERROR(__xludf.dummyfunction("""COMPUTED_VALUE"""),3.5)</f>
        <v>3.5</v>
      </c>
      <c r="Z8" s="3"/>
      <c r="AA8" s="3" t="n">
        <f aca="false">IFERROR(__xludf.dummyfunction("""COMPUTED_VALUE"""),2)</f>
        <v>2</v>
      </c>
      <c r="AB8" s="4" t="n">
        <f aca="false">IFERROR(__xludf.dummyfunction("""COMPUTED_VALUE"""),6.05)</f>
        <v>6.05</v>
      </c>
      <c r="AC8" s="4" t="n">
        <f aca="false">IFERROR(__xludf.dummyfunction("""COMPUTED_VALUE"""),47.05)</f>
        <v>47.05</v>
      </c>
      <c r="AD8" s="3" t="n">
        <f aca="false">IFERROR(__xludf.dummyfunction("""COMPUTED_VALUE"""),38)</f>
        <v>38</v>
      </c>
    </row>
    <row r="9" customFormat="false" ht="15.75" hidden="false" customHeight="false" outlineLevel="0" collapsed="false">
      <c r="A9" s="3" t="n">
        <f aca="false">IFERROR(__xludf.dummyfunction("""COMPUTED_VALUE"""),31)</f>
        <v>31</v>
      </c>
      <c r="B9" s="3" t="str">
        <f aca="false">IFERROR(__xludf.dummyfunction("""COMPUTED_VALUE"""),"Phoebe")</f>
        <v>Phoebe</v>
      </c>
      <c r="C9" s="3" t="str">
        <f aca="false">IFERROR(__xludf.dummyfunction("""COMPUTED_VALUE"""),"Read-Jones")</f>
        <v>Read-Jones</v>
      </c>
      <c r="D9" s="3" t="str">
        <f aca="false">IFERROR(__xludf.dummyfunction("""COMPUTED_VALUE"""),"DYN SG")</f>
        <v>DYN SG</v>
      </c>
      <c r="E9" s="3" t="str">
        <f aca="false">IFERROR(__xludf.dummyfunction("""COMPUTED_VALUE"""),"Grade 6")</f>
        <v>Grade 6</v>
      </c>
      <c r="F9" s="3" t="n">
        <f aca="false">IFERROR(__xludf.dummyfunction("""COMPUTED_VALUE"""),4)</f>
        <v>4</v>
      </c>
      <c r="G9" s="3"/>
      <c r="H9" s="3"/>
      <c r="I9" s="3" t="n">
        <f aca="false">IFERROR(__xludf.dummyfunction("""COMPUTED_VALUE"""),4)</f>
        <v>4</v>
      </c>
      <c r="J9" s="3"/>
      <c r="K9" s="3"/>
      <c r="L9" s="4" t="n">
        <f aca="false">IFERROR(__xludf.dummyfunction("""COMPUTED_VALUE"""),12.3)</f>
        <v>12.3</v>
      </c>
      <c r="M9" s="3" t="n">
        <f aca="false">IFERROR(__xludf.dummyfunction("""COMPUTED_VALUE"""),4)</f>
        <v>4</v>
      </c>
      <c r="N9" s="3"/>
      <c r="O9" s="3"/>
      <c r="P9" s="4" t="n">
        <f aca="false">IFERROR(__xludf.dummyfunction("""COMPUTED_VALUE"""),10.9)</f>
        <v>10.9</v>
      </c>
      <c r="Q9" s="3" t="n">
        <f aca="false">IFERROR(__xludf.dummyfunction("""COMPUTED_VALUE"""),4)</f>
        <v>4</v>
      </c>
      <c r="R9" s="3"/>
      <c r="S9" s="3"/>
      <c r="T9" s="4" t="n">
        <f aca="false">IFERROR(__xludf.dummyfunction("""COMPUTED_VALUE"""),11)</f>
        <v>11</v>
      </c>
      <c r="U9" s="3" t="n">
        <f aca="false">IFERROR(__xludf.dummyfunction("""COMPUTED_VALUE"""),3.5)</f>
        <v>3.5</v>
      </c>
      <c r="V9" s="3"/>
      <c r="W9" s="3"/>
      <c r="X9" s="4" t="n">
        <f aca="false">IFERROR(__xludf.dummyfunction("""COMPUTED_VALUE"""),9.1)</f>
        <v>9.1</v>
      </c>
      <c r="Y9" s="3" t="n">
        <f aca="false">IFERROR(__xludf.dummyfunction("""COMPUTED_VALUE"""),4)</f>
        <v>4</v>
      </c>
      <c r="Z9" s="3"/>
      <c r="AA9" s="3"/>
      <c r="AB9" s="4" t="n">
        <f aca="false">IFERROR(__xludf.dummyfunction("""COMPUTED_VALUE"""),11)</f>
        <v>11</v>
      </c>
      <c r="AC9" s="4" t="n">
        <f aca="false">IFERROR(__xludf.dummyfunction("""COMPUTED_VALUE"""),54.3)</f>
        <v>54.3</v>
      </c>
      <c r="AD9" s="3" t="n">
        <f aca="false">IFERROR(__xludf.dummyfunction("""COMPUTED_VALUE"""),27)</f>
        <v>27</v>
      </c>
    </row>
    <row r="10" customFormat="false" ht="15.75" hidden="false" customHeight="false" outlineLevel="0" collapsed="false">
      <c r="A10" s="3" t="n">
        <f aca="false">IFERROR(__xludf.dummyfunction("""COMPUTED_VALUE"""),32)</f>
        <v>32</v>
      </c>
      <c r="B10" s="3" t="str">
        <f aca="false">IFERROR(__xludf.dummyfunction("""COMPUTED_VALUE"""),"Maisie")</f>
        <v>Maisie</v>
      </c>
      <c r="C10" s="3" t="str">
        <f aca="false">IFERROR(__xludf.dummyfunction("""COMPUTED_VALUE"""),"Bramwell")</f>
        <v>Bramwell</v>
      </c>
      <c r="D10" s="3" t="str">
        <f aca="false">IFERROR(__xludf.dummyfunction("""COMPUTED_VALUE"""),"DYN SG")</f>
        <v>DYN SG</v>
      </c>
      <c r="E10" s="3" t="str">
        <f aca="false">IFERROR(__xludf.dummyfunction("""COMPUTED_VALUE"""),"Grade 6")</f>
        <v>Grade 6</v>
      </c>
      <c r="F10" s="3" t="n">
        <f aca="false">IFERROR(__xludf.dummyfunction("""COMPUTED_VALUE"""),4)</f>
        <v>4</v>
      </c>
      <c r="G10" s="3"/>
      <c r="H10" s="3"/>
      <c r="I10" s="3" t="n">
        <f aca="false">IFERROR(__xludf.dummyfunction("""COMPUTED_VALUE"""),4)</f>
        <v>4</v>
      </c>
      <c r="J10" s="3"/>
      <c r="K10" s="3"/>
      <c r="L10" s="4" t="n">
        <f aca="false">IFERROR(__xludf.dummyfunction("""COMPUTED_VALUE"""),12.15)</f>
        <v>12.15</v>
      </c>
      <c r="M10" s="3" t="n">
        <f aca="false">IFERROR(__xludf.dummyfunction("""COMPUTED_VALUE"""),3.5)</f>
        <v>3.5</v>
      </c>
      <c r="N10" s="3"/>
      <c r="O10" s="3"/>
      <c r="P10" s="4" t="n">
        <f aca="false">IFERROR(__xludf.dummyfunction("""COMPUTED_VALUE"""),8.35)</f>
        <v>8.35</v>
      </c>
      <c r="Q10" s="3" t="n">
        <f aca="false">IFERROR(__xludf.dummyfunction("""COMPUTED_VALUE"""),4)</f>
        <v>4</v>
      </c>
      <c r="R10" s="3"/>
      <c r="S10" s="3"/>
      <c r="T10" s="4" t="n">
        <f aca="false">IFERROR(__xludf.dummyfunction("""COMPUTED_VALUE"""),11.6)</f>
        <v>11.6</v>
      </c>
      <c r="U10" s="3" t="n">
        <f aca="false">IFERROR(__xludf.dummyfunction("""COMPUTED_VALUE"""),3.5)</f>
        <v>3.5</v>
      </c>
      <c r="V10" s="3"/>
      <c r="W10" s="3"/>
      <c r="X10" s="4" t="n">
        <f aca="false">IFERROR(__xludf.dummyfunction("""COMPUTED_VALUE"""),9.05)</f>
        <v>9.05</v>
      </c>
      <c r="Y10" s="3" t="n">
        <f aca="false">IFERROR(__xludf.dummyfunction("""COMPUTED_VALUE"""),2)</f>
        <v>2</v>
      </c>
      <c r="Z10" s="3"/>
      <c r="AA10" s="3"/>
      <c r="AB10" s="4" t="n">
        <f aca="false">IFERROR(__xludf.dummyfunction("""COMPUTED_VALUE"""),8.4)</f>
        <v>8.4</v>
      </c>
      <c r="AC10" s="4" t="n">
        <f aca="false">IFERROR(__xludf.dummyfunction("""COMPUTED_VALUE"""),49.55)</f>
        <v>49.55</v>
      </c>
      <c r="AD10" s="3" t="n">
        <f aca="false">IFERROR(__xludf.dummyfunction("""COMPUTED_VALUE"""),37)</f>
        <v>37</v>
      </c>
    </row>
    <row r="11" customFormat="false" ht="15.75" hidden="false" customHeight="false" outlineLevel="0" collapsed="false">
      <c r="A11" s="3" t="n">
        <f aca="false">IFERROR(__xludf.dummyfunction("""COMPUTED_VALUE"""),33)</f>
        <v>33</v>
      </c>
      <c r="B11" s="3" t="str">
        <f aca="false">IFERROR(__xludf.dummyfunction("""COMPUTED_VALUE"""),"Dulcie")</f>
        <v>Dulcie</v>
      </c>
      <c r="C11" s="3" t="str">
        <f aca="false">IFERROR(__xludf.dummyfunction("""COMPUTED_VALUE"""),"Clarke")</f>
        <v>Clarke</v>
      </c>
      <c r="D11" s="3" t="str">
        <f aca="false">IFERROR(__xludf.dummyfunction("""COMPUTED_VALUE"""),"DYN SG")</f>
        <v>DYN SG</v>
      </c>
      <c r="E11" s="3" t="str">
        <f aca="false">IFERROR(__xludf.dummyfunction("""COMPUTED_VALUE"""),"Grade 6")</f>
        <v>Grade 6</v>
      </c>
      <c r="F11" s="3" t="n">
        <f aca="false">IFERROR(__xludf.dummyfunction("""COMPUTED_VALUE"""),4)</f>
        <v>4</v>
      </c>
      <c r="G11" s="3"/>
      <c r="H11" s="3"/>
      <c r="I11" s="3" t="n">
        <f aca="false">IFERROR(__xludf.dummyfunction("""COMPUTED_VALUE"""),4)</f>
        <v>4</v>
      </c>
      <c r="J11" s="3"/>
      <c r="K11" s="3"/>
      <c r="L11" s="4" t="n">
        <f aca="false">IFERROR(__xludf.dummyfunction("""COMPUTED_VALUE"""),12)</f>
        <v>12</v>
      </c>
      <c r="M11" s="3" t="n">
        <f aca="false">IFERROR(__xludf.dummyfunction("""COMPUTED_VALUE"""),4)</f>
        <v>4</v>
      </c>
      <c r="N11" s="3"/>
      <c r="O11" s="3"/>
      <c r="P11" s="4" t="n">
        <f aca="false">IFERROR(__xludf.dummyfunction("""COMPUTED_VALUE"""),10.6)</f>
        <v>10.6</v>
      </c>
      <c r="Q11" s="3" t="n">
        <f aca="false">IFERROR(__xludf.dummyfunction("""COMPUTED_VALUE"""),4)</f>
        <v>4</v>
      </c>
      <c r="R11" s="3"/>
      <c r="S11" s="3"/>
      <c r="T11" s="4" t="n">
        <f aca="false">IFERROR(__xludf.dummyfunction("""COMPUTED_VALUE"""),11.2)</f>
        <v>11.2</v>
      </c>
      <c r="U11" s="3" t="n">
        <f aca="false">IFERROR(__xludf.dummyfunction("""COMPUTED_VALUE"""),4)</f>
        <v>4</v>
      </c>
      <c r="V11" s="3"/>
      <c r="W11" s="3"/>
      <c r="X11" s="4" t="n">
        <f aca="false">IFERROR(__xludf.dummyfunction("""COMPUTED_VALUE"""),9.85)</f>
        <v>9.85</v>
      </c>
      <c r="Y11" s="3" t="n">
        <f aca="false">IFERROR(__xludf.dummyfunction("""COMPUTED_VALUE"""),3)</f>
        <v>3</v>
      </c>
      <c r="Z11" s="3"/>
      <c r="AA11" s="3"/>
      <c r="AB11" s="4" t="n">
        <f aca="false">IFERROR(__xludf.dummyfunction("""COMPUTED_VALUE"""),8.7)</f>
        <v>8.7</v>
      </c>
      <c r="AC11" s="4" t="n">
        <f aca="false">IFERROR(__xludf.dummyfunction("""COMPUTED_VALUE"""),52.35)</f>
        <v>52.35</v>
      </c>
      <c r="AD11" s="3" t="n">
        <f aca="false">IFERROR(__xludf.dummyfunction("""COMPUTED_VALUE"""),34)</f>
        <v>34</v>
      </c>
    </row>
    <row r="12" customFormat="false" ht="15.75" hidden="false" customHeight="false" outlineLevel="0" collapsed="false">
      <c r="A12" s="3" t="n">
        <f aca="false">IFERROR(__xludf.dummyfunction("""COMPUTED_VALUE"""),34)</f>
        <v>34</v>
      </c>
      <c r="B12" s="3" t="str">
        <f aca="false">IFERROR(__xludf.dummyfunction("""COMPUTED_VALUE"""),"Gabriella")</f>
        <v>Gabriella</v>
      </c>
      <c r="C12" s="3" t="str">
        <f aca="false">IFERROR(__xludf.dummyfunction("""COMPUTED_VALUE"""),"Majewska")</f>
        <v>Majewska</v>
      </c>
      <c r="D12" s="3" t="str">
        <f aca="false">IFERROR(__xludf.dummyfunction("""COMPUTED_VALUE"""),"DYN SG")</f>
        <v>DYN SG</v>
      </c>
      <c r="E12" s="3" t="str">
        <f aca="false">IFERROR(__xludf.dummyfunction("""COMPUTED_VALUE"""),"Grade 6")</f>
        <v>Grade 6</v>
      </c>
      <c r="F12" s="3" t="n">
        <f aca="false">IFERROR(__xludf.dummyfunction("""COMPUTED_VALUE"""),4)</f>
        <v>4</v>
      </c>
      <c r="G12" s="3"/>
      <c r="H12" s="3"/>
      <c r="I12" s="3" t="n">
        <f aca="false">IFERROR(__xludf.dummyfunction("""COMPUTED_VALUE"""),4)</f>
        <v>4</v>
      </c>
      <c r="J12" s="3"/>
      <c r="K12" s="3"/>
      <c r="L12" s="4" t="n">
        <f aca="false">IFERROR(__xludf.dummyfunction("""COMPUTED_VALUE"""),12.6)</f>
        <v>12.6</v>
      </c>
      <c r="M12" s="3" t="n">
        <f aca="false">IFERROR(__xludf.dummyfunction("""COMPUTED_VALUE"""),4)</f>
        <v>4</v>
      </c>
      <c r="N12" s="3"/>
      <c r="O12" s="3"/>
      <c r="P12" s="4" t="n">
        <f aca="false">IFERROR(__xludf.dummyfunction("""COMPUTED_VALUE"""),10.2)</f>
        <v>10.2</v>
      </c>
      <c r="Q12" s="3" t="n">
        <f aca="false">IFERROR(__xludf.dummyfunction("""COMPUTED_VALUE"""),4)</f>
        <v>4</v>
      </c>
      <c r="R12" s="3"/>
      <c r="S12" s="3"/>
      <c r="T12" s="4" t="n">
        <f aca="false">IFERROR(__xludf.dummyfunction("""COMPUTED_VALUE"""),11.3)</f>
        <v>11.3</v>
      </c>
      <c r="U12" s="3" t="n">
        <f aca="false">IFERROR(__xludf.dummyfunction("""COMPUTED_VALUE"""),4)</f>
        <v>4</v>
      </c>
      <c r="V12" s="3"/>
      <c r="W12" s="3"/>
      <c r="X12" s="4" t="n">
        <f aca="false">IFERROR(__xludf.dummyfunction("""COMPUTED_VALUE"""),9.35)</f>
        <v>9.35</v>
      </c>
      <c r="Y12" s="3" t="n">
        <f aca="false">IFERROR(__xludf.dummyfunction("""COMPUTED_VALUE"""),2.5)</f>
        <v>2.5</v>
      </c>
      <c r="Z12" s="3"/>
      <c r="AA12" s="3"/>
      <c r="AB12" s="4" t="n">
        <f aca="false">IFERROR(__xludf.dummyfunction("""COMPUTED_VALUE"""),8.55)</f>
        <v>8.55</v>
      </c>
      <c r="AC12" s="4" t="n">
        <f aca="false">IFERROR(__xludf.dummyfunction("""COMPUTED_VALUE"""),52)</f>
        <v>52</v>
      </c>
      <c r="AD12" s="3" t="n">
        <f aca="false">IFERROR(__xludf.dummyfunction("""COMPUTED_VALUE"""),36)</f>
        <v>36</v>
      </c>
    </row>
    <row r="13" customFormat="false" ht="15.75" hidden="false" customHeight="false" outlineLevel="0" collapsed="false">
      <c r="A13" s="3" t="n">
        <f aca="false">IFERROR(__xludf.dummyfunction("""COMPUTED_VALUE"""),35)</f>
        <v>35</v>
      </c>
      <c r="B13" s="3" t="str">
        <f aca="false">IFERROR(__xludf.dummyfunction("""COMPUTED_VALUE"""),"Tiana")</f>
        <v>Tiana</v>
      </c>
      <c r="C13" s="3" t="str">
        <f aca="false">IFERROR(__xludf.dummyfunction("""COMPUTED_VALUE"""),"Kirby")</f>
        <v>Kirby</v>
      </c>
      <c r="D13" s="3" t="str">
        <f aca="false">IFERROR(__xludf.dummyfunction("""COMPUTED_VALUE"""),"FSG")</f>
        <v>FSG</v>
      </c>
      <c r="E13" s="3" t="str">
        <f aca="false">IFERROR(__xludf.dummyfunction("""COMPUTED_VALUE"""),"Grade 6")</f>
        <v>Grade 6</v>
      </c>
      <c r="F13" s="3" t="n">
        <f aca="false">IFERROR(__xludf.dummyfunction("""COMPUTED_VALUE"""),4)</f>
        <v>4</v>
      </c>
      <c r="G13" s="3"/>
      <c r="H13" s="3"/>
      <c r="I13" s="3" t="n">
        <f aca="false">IFERROR(__xludf.dummyfunction("""COMPUTED_VALUE"""),4)</f>
        <v>4</v>
      </c>
      <c r="J13" s="3"/>
      <c r="K13" s="3"/>
      <c r="L13" s="4" t="n">
        <f aca="false">IFERROR(__xludf.dummyfunction("""COMPUTED_VALUE"""),12.75)</f>
        <v>12.75</v>
      </c>
      <c r="M13" s="3" t="n">
        <f aca="false">IFERROR(__xludf.dummyfunction("""COMPUTED_VALUE"""),4)</f>
        <v>4</v>
      </c>
      <c r="N13" s="3"/>
      <c r="O13" s="3"/>
      <c r="P13" s="4" t="n">
        <f aca="false">IFERROR(__xludf.dummyfunction("""COMPUTED_VALUE"""),12.15)</f>
        <v>12.15</v>
      </c>
      <c r="Q13" s="3" t="n">
        <f aca="false">IFERROR(__xludf.dummyfunction("""COMPUTED_VALUE"""),4)</f>
        <v>4</v>
      </c>
      <c r="R13" s="3"/>
      <c r="S13" s="3"/>
      <c r="T13" s="4" t="n">
        <f aca="false">IFERROR(__xludf.dummyfunction("""COMPUTED_VALUE"""),11.4)</f>
        <v>11.4</v>
      </c>
      <c r="U13" s="3" t="n">
        <f aca="false">IFERROR(__xludf.dummyfunction("""COMPUTED_VALUE"""),4)</f>
        <v>4</v>
      </c>
      <c r="V13" s="3"/>
      <c r="W13" s="3"/>
      <c r="X13" s="4" t="n">
        <f aca="false">IFERROR(__xludf.dummyfunction("""COMPUTED_VALUE"""),11.15)</f>
        <v>11.15</v>
      </c>
      <c r="Y13" s="3" t="n">
        <f aca="false">IFERROR(__xludf.dummyfunction("""COMPUTED_VALUE"""),3.5)</f>
        <v>3.5</v>
      </c>
      <c r="Z13" s="3"/>
      <c r="AA13" s="3"/>
      <c r="AB13" s="4" t="n">
        <f aca="false">IFERROR(__xludf.dummyfunction("""COMPUTED_VALUE"""),11.55)</f>
        <v>11.55</v>
      </c>
      <c r="AC13" s="4" t="n">
        <f aca="false">IFERROR(__xludf.dummyfunction("""COMPUTED_VALUE"""),59)</f>
        <v>59</v>
      </c>
      <c r="AD13" s="3" t="n">
        <f aca="false">IFERROR(__xludf.dummyfunction("""COMPUTED_VALUE"""),13)</f>
        <v>13</v>
      </c>
    </row>
    <row r="14" customFormat="false" ht="15.75" hidden="false" customHeight="false" outlineLevel="0" collapsed="false">
      <c r="A14" s="3" t="n">
        <f aca="false">IFERROR(__xludf.dummyfunction("""COMPUTED_VALUE"""),36)</f>
        <v>36</v>
      </c>
      <c r="B14" s="3" t="str">
        <f aca="false">IFERROR(__xludf.dummyfunction("""COMPUTED_VALUE"""),"Ava")</f>
        <v>Ava</v>
      </c>
      <c r="C14" s="3" t="str">
        <f aca="false">IFERROR(__xludf.dummyfunction("""COMPUTED_VALUE"""),"Gardner")</f>
        <v>Gardner</v>
      </c>
      <c r="D14" s="3" t="str">
        <f aca="false">IFERROR(__xludf.dummyfunction("""COMPUTED_VALUE"""),"FSG")</f>
        <v>FSG</v>
      </c>
      <c r="E14" s="3" t="str">
        <f aca="false">IFERROR(__xludf.dummyfunction("""COMPUTED_VALUE"""),"Grade 6")</f>
        <v>Grade 6</v>
      </c>
      <c r="F14" s="3" t="n">
        <f aca="false">IFERROR(__xludf.dummyfunction("""COMPUTED_VALUE"""),0)</f>
        <v>0</v>
      </c>
      <c r="G14" s="3"/>
      <c r="H14" s="3"/>
      <c r="I14" s="3" t="n">
        <f aca="false">IFERROR(__xludf.dummyfunction("""COMPUTED_VALUE"""),0)</f>
        <v>0</v>
      </c>
      <c r="J14" s="3"/>
      <c r="K14" s="3"/>
      <c r="L14" s="4" t="n">
        <f aca="false">IFERROR(__xludf.dummyfunction("""COMPUTED_VALUE"""),0)</f>
        <v>0</v>
      </c>
      <c r="M14" s="3"/>
      <c r="N14" s="3"/>
      <c r="O14" s="3"/>
      <c r="P14" s="4" t="n">
        <f aca="false">IFERROR(__xludf.dummyfunction("""COMPUTED_VALUE"""),0)</f>
        <v>0</v>
      </c>
      <c r="Q14" s="3"/>
      <c r="R14" s="3"/>
      <c r="S14" s="3"/>
      <c r="T14" s="4" t="n">
        <f aca="false">IFERROR(__xludf.dummyfunction("""COMPUTED_VALUE"""),0)</f>
        <v>0</v>
      </c>
      <c r="U14" s="3"/>
      <c r="V14" s="3"/>
      <c r="W14" s="3"/>
      <c r="X14" s="4" t="n">
        <f aca="false">IFERROR(__xludf.dummyfunction("""COMPUTED_VALUE"""),0)</f>
        <v>0</v>
      </c>
      <c r="Y14" s="3"/>
      <c r="Z14" s="3"/>
      <c r="AA14" s="3"/>
      <c r="AB14" s="4" t="n">
        <f aca="false">IFERROR(__xludf.dummyfunction("""COMPUTED_VALUE"""),0)</f>
        <v>0</v>
      </c>
      <c r="AC14" s="4" t="n">
        <f aca="false">IFERROR(__xludf.dummyfunction("""COMPUTED_VALUE"""),0)</f>
        <v>0</v>
      </c>
      <c r="AD14" s="3" t="n">
        <f aca="false">IFERROR(__xludf.dummyfunction("""COMPUTED_VALUE"""),39)</f>
        <v>39</v>
      </c>
    </row>
    <row r="15" customFormat="false" ht="15.75" hidden="false" customHeight="false" outlineLevel="0" collapsed="false">
      <c r="A15" s="3" t="n">
        <f aca="false">IFERROR(__xludf.dummyfunction("""COMPUTED_VALUE"""),37)</f>
        <v>37</v>
      </c>
      <c r="B15" s="3" t="str">
        <f aca="false">IFERROR(__xludf.dummyfunction("""COMPUTED_VALUE"""),"Lydia")</f>
        <v>Lydia</v>
      </c>
      <c r="C15" s="3" t="str">
        <f aca="false">IFERROR(__xludf.dummyfunction("""COMPUTED_VALUE"""),"Reece")</f>
        <v>Reece</v>
      </c>
      <c r="D15" s="3" t="str">
        <f aca="false">IFERROR(__xludf.dummyfunction("""COMPUTED_VALUE"""),"FSG")</f>
        <v>FSG</v>
      </c>
      <c r="E15" s="3" t="str">
        <f aca="false">IFERROR(__xludf.dummyfunction("""COMPUTED_VALUE"""),"Grade 6")</f>
        <v>Grade 6</v>
      </c>
      <c r="F15" s="3" t="n">
        <f aca="false">IFERROR(__xludf.dummyfunction("""COMPUTED_VALUE"""),4)</f>
        <v>4</v>
      </c>
      <c r="G15" s="3"/>
      <c r="H15" s="3"/>
      <c r="I15" s="3" t="n">
        <f aca="false">IFERROR(__xludf.dummyfunction("""COMPUTED_VALUE"""),4)</f>
        <v>4</v>
      </c>
      <c r="J15" s="3"/>
      <c r="K15" s="3"/>
      <c r="L15" s="4" t="n">
        <f aca="false">IFERROR(__xludf.dummyfunction("""COMPUTED_VALUE"""),12.45)</f>
        <v>12.45</v>
      </c>
      <c r="M15" s="3" t="n">
        <f aca="false">IFERROR(__xludf.dummyfunction("""COMPUTED_VALUE"""),4)</f>
        <v>4</v>
      </c>
      <c r="N15" s="3"/>
      <c r="O15" s="3"/>
      <c r="P15" s="4" t="n">
        <f aca="false">IFERROR(__xludf.dummyfunction("""COMPUTED_VALUE"""),12.85)</f>
        <v>12.85</v>
      </c>
      <c r="Q15" s="3" t="n">
        <f aca="false">IFERROR(__xludf.dummyfunction("""COMPUTED_VALUE"""),4)</f>
        <v>4</v>
      </c>
      <c r="R15" s="3"/>
      <c r="S15" s="3"/>
      <c r="T15" s="4" t="n">
        <f aca="false">IFERROR(__xludf.dummyfunction("""COMPUTED_VALUE"""),12.3)</f>
        <v>12.3</v>
      </c>
      <c r="U15" s="3" t="n">
        <f aca="false">IFERROR(__xludf.dummyfunction("""COMPUTED_VALUE"""),4)</f>
        <v>4</v>
      </c>
      <c r="V15" s="3"/>
      <c r="W15" s="3"/>
      <c r="X15" s="4" t="n">
        <f aca="false">IFERROR(__xludf.dummyfunction("""COMPUTED_VALUE"""),11.55)</f>
        <v>11.55</v>
      </c>
      <c r="Y15" s="3" t="n">
        <f aca="false">IFERROR(__xludf.dummyfunction("""COMPUTED_VALUE"""),4)</f>
        <v>4</v>
      </c>
      <c r="Z15" s="3"/>
      <c r="AA15" s="3"/>
      <c r="AB15" s="4" t="n">
        <f aca="false">IFERROR(__xludf.dummyfunction("""COMPUTED_VALUE"""),13.55)</f>
        <v>13.55</v>
      </c>
      <c r="AC15" s="4" t="n">
        <f aca="false">IFERROR(__xludf.dummyfunction("""COMPUTED_VALUE"""),62.7)</f>
        <v>62.7</v>
      </c>
      <c r="AD15" s="3" t="n">
        <f aca="false">IFERROR(__xludf.dummyfunction("""COMPUTED_VALUE"""),5)</f>
        <v>5</v>
      </c>
    </row>
    <row r="16" customFormat="false" ht="15.75" hidden="false" customHeight="false" outlineLevel="0" collapsed="false">
      <c r="A16" s="3" t="n">
        <f aca="false">IFERROR(__xludf.dummyfunction("""COMPUTED_VALUE"""),38)</f>
        <v>38</v>
      </c>
      <c r="B16" s="3" t="str">
        <f aca="false">IFERROR(__xludf.dummyfunction("""COMPUTED_VALUE"""),"Chloe")</f>
        <v>Chloe</v>
      </c>
      <c r="C16" s="3" t="str">
        <f aca="false">IFERROR(__xludf.dummyfunction("""COMPUTED_VALUE"""),"Rock")</f>
        <v>Rock</v>
      </c>
      <c r="D16" s="3" t="str">
        <f aca="false">IFERROR(__xludf.dummyfunction("""COMPUTED_VALUE"""),"FOX GC")</f>
        <v>FOX GC</v>
      </c>
      <c r="E16" s="3" t="str">
        <f aca="false">IFERROR(__xludf.dummyfunction("""COMPUTED_VALUE"""),"Grade 6")</f>
        <v>Grade 6</v>
      </c>
      <c r="F16" s="3" t="n">
        <f aca="false">IFERROR(__xludf.dummyfunction("""COMPUTED_VALUE"""),4)</f>
        <v>4</v>
      </c>
      <c r="G16" s="3"/>
      <c r="H16" s="3"/>
      <c r="I16" s="3" t="n">
        <f aca="false">IFERROR(__xludf.dummyfunction("""COMPUTED_VALUE"""),4)</f>
        <v>4</v>
      </c>
      <c r="J16" s="3"/>
      <c r="K16" s="3"/>
      <c r="L16" s="4" t="n">
        <f aca="false">IFERROR(__xludf.dummyfunction("""COMPUTED_VALUE"""),12.5)</f>
        <v>12.5</v>
      </c>
      <c r="M16" s="3" t="n">
        <f aca="false">IFERROR(__xludf.dummyfunction("""COMPUTED_VALUE"""),4)</f>
        <v>4</v>
      </c>
      <c r="N16" s="3"/>
      <c r="O16" s="3"/>
      <c r="P16" s="4" t="n">
        <f aca="false">IFERROR(__xludf.dummyfunction("""COMPUTED_VALUE"""),10.1)</f>
        <v>10.1</v>
      </c>
      <c r="Q16" s="3" t="n">
        <f aca="false">IFERROR(__xludf.dummyfunction("""COMPUTED_VALUE"""),4)</f>
        <v>4</v>
      </c>
      <c r="R16" s="3"/>
      <c r="S16" s="3"/>
      <c r="T16" s="4" t="n">
        <f aca="false">IFERROR(__xludf.dummyfunction("""COMPUTED_VALUE"""),11.3)</f>
        <v>11.3</v>
      </c>
      <c r="U16" s="3" t="n">
        <f aca="false">IFERROR(__xludf.dummyfunction("""COMPUTED_VALUE"""),4)</f>
        <v>4</v>
      </c>
      <c r="V16" s="3"/>
      <c r="W16" s="3"/>
      <c r="X16" s="4" t="n">
        <f aca="false">IFERROR(__xludf.dummyfunction("""COMPUTED_VALUE"""),9.75)</f>
        <v>9.75</v>
      </c>
      <c r="Y16" s="3" t="n">
        <f aca="false">IFERROR(__xludf.dummyfunction("""COMPUTED_VALUE"""),3)</f>
        <v>3</v>
      </c>
      <c r="Z16" s="3"/>
      <c r="AA16" s="3"/>
      <c r="AB16" s="4" t="n">
        <f aca="false">IFERROR(__xludf.dummyfunction("""COMPUTED_VALUE"""),10.5)</f>
        <v>10.5</v>
      </c>
      <c r="AC16" s="4" t="n">
        <f aca="false">IFERROR(__xludf.dummyfunction("""COMPUTED_VALUE"""),54.15)</f>
        <v>54.15</v>
      </c>
      <c r="AD16" s="3" t="n">
        <f aca="false">IFERROR(__xludf.dummyfunction("""COMPUTED_VALUE"""),28)</f>
        <v>28</v>
      </c>
    </row>
    <row r="17" customFormat="false" ht="15.75" hidden="false" customHeight="false" outlineLevel="0" collapsed="false">
      <c r="A17" s="3" t="n">
        <f aca="false">IFERROR(__xludf.dummyfunction("""COMPUTED_VALUE"""),39)</f>
        <v>39</v>
      </c>
      <c r="B17" s="3" t="str">
        <f aca="false">IFERROR(__xludf.dummyfunction("""COMPUTED_VALUE"""),"Sophia")</f>
        <v>Sophia</v>
      </c>
      <c r="C17" s="3" t="str">
        <f aca="false">IFERROR(__xludf.dummyfunction("""COMPUTED_VALUE"""),"Hall")</f>
        <v>Hall</v>
      </c>
      <c r="D17" s="3" t="str">
        <f aca="false">IFERROR(__xludf.dummyfunction("""COMPUTED_VALUE"""),"FOX GC")</f>
        <v>FOX GC</v>
      </c>
      <c r="E17" s="3" t="str">
        <f aca="false">IFERROR(__xludf.dummyfunction("""COMPUTED_VALUE"""),"Grade 6")</f>
        <v>Grade 6</v>
      </c>
      <c r="F17" s="3" t="n">
        <f aca="false">IFERROR(__xludf.dummyfunction("""COMPUTED_VALUE"""),4)</f>
        <v>4</v>
      </c>
      <c r="G17" s="3"/>
      <c r="H17" s="3"/>
      <c r="I17" s="3" t="n">
        <f aca="false">IFERROR(__xludf.dummyfunction("""COMPUTED_VALUE"""),4)</f>
        <v>4</v>
      </c>
      <c r="J17" s="3"/>
      <c r="K17" s="3"/>
      <c r="L17" s="4" t="n">
        <f aca="false">IFERROR(__xludf.dummyfunction("""COMPUTED_VALUE"""),12.65)</f>
        <v>12.65</v>
      </c>
      <c r="M17" s="3" t="n">
        <f aca="false">IFERROR(__xludf.dummyfunction("""COMPUTED_VALUE"""),4)</f>
        <v>4</v>
      </c>
      <c r="N17" s="3"/>
      <c r="O17" s="3"/>
      <c r="P17" s="4" t="n">
        <f aca="false">IFERROR(__xludf.dummyfunction("""COMPUTED_VALUE"""),10.65)</f>
        <v>10.65</v>
      </c>
      <c r="Q17" s="3" t="n">
        <f aca="false">IFERROR(__xludf.dummyfunction("""COMPUTED_VALUE"""),4)</f>
        <v>4</v>
      </c>
      <c r="R17" s="3"/>
      <c r="S17" s="3"/>
      <c r="T17" s="4" t="n">
        <f aca="false">IFERROR(__xludf.dummyfunction("""COMPUTED_VALUE"""),11.5)</f>
        <v>11.5</v>
      </c>
      <c r="U17" s="3" t="n">
        <f aca="false">IFERROR(__xludf.dummyfunction("""COMPUTED_VALUE"""),3)</f>
        <v>3</v>
      </c>
      <c r="V17" s="3"/>
      <c r="W17" s="3"/>
      <c r="X17" s="4" t="n">
        <f aca="false">IFERROR(__xludf.dummyfunction("""COMPUTED_VALUE"""),8.05)</f>
        <v>8.05</v>
      </c>
      <c r="Y17" s="3" t="n">
        <f aca="false">IFERROR(__xludf.dummyfunction("""COMPUTED_VALUE"""),3.5)</f>
        <v>3.5</v>
      </c>
      <c r="Z17" s="3"/>
      <c r="AA17" s="3"/>
      <c r="AB17" s="4" t="n">
        <f aca="false">IFERROR(__xludf.dummyfunction("""COMPUTED_VALUE"""),10.4)</f>
        <v>10.4</v>
      </c>
      <c r="AC17" s="4" t="n">
        <f aca="false">IFERROR(__xludf.dummyfunction("""COMPUTED_VALUE"""),53.25)</f>
        <v>53.25</v>
      </c>
      <c r="AD17" s="3" t="n">
        <f aca="false">IFERROR(__xludf.dummyfunction("""COMPUTED_VALUE"""),30)</f>
        <v>30</v>
      </c>
    </row>
    <row r="18" customFormat="false" ht="15.75" hidden="false" customHeight="false" outlineLevel="0" collapsed="false">
      <c r="A18" s="3" t="n">
        <f aca="false">IFERROR(__xludf.dummyfunction("""COMPUTED_VALUE"""),40)</f>
        <v>40</v>
      </c>
      <c r="B18" s="3" t="str">
        <f aca="false">IFERROR(__xludf.dummyfunction("""COMPUTED_VALUE"""),"Sophie")</f>
        <v>Sophie</v>
      </c>
      <c r="C18" s="3" t="str">
        <f aca="false">IFERROR(__xludf.dummyfunction("""COMPUTED_VALUE"""),"Sanderson")</f>
        <v>Sanderson</v>
      </c>
      <c r="D18" s="3" t="str">
        <f aca="false">IFERROR(__xludf.dummyfunction("""COMPUTED_VALUE"""),"HART GC")</f>
        <v>HART GC</v>
      </c>
      <c r="E18" s="3" t="str">
        <f aca="false">IFERROR(__xludf.dummyfunction("""COMPUTED_VALUE"""),"Grade 6")</f>
        <v>Grade 6</v>
      </c>
      <c r="F18" s="3" t="n">
        <f aca="false">IFERROR(__xludf.dummyfunction("""COMPUTED_VALUE"""),4)</f>
        <v>4</v>
      </c>
      <c r="G18" s="3"/>
      <c r="H18" s="3"/>
      <c r="I18" s="3" t="n">
        <f aca="false">IFERROR(__xludf.dummyfunction("""COMPUTED_VALUE"""),4)</f>
        <v>4</v>
      </c>
      <c r="J18" s="3"/>
      <c r="K18" s="3"/>
      <c r="L18" s="4" t="n">
        <f aca="false">IFERROR(__xludf.dummyfunction("""COMPUTED_VALUE"""),12.55)</f>
        <v>12.55</v>
      </c>
      <c r="M18" s="3" t="n">
        <f aca="false">IFERROR(__xludf.dummyfunction("""COMPUTED_VALUE"""),4)</f>
        <v>4</v>
      </c>
      <c r="N18" s="3"/>
      <c r="O18" s="3"/>
      <c r="P18" s="4" t="n">
        <f aca="false">IFERROR(__xludf.dummyfunction("""COMPUTED_VALUE"""),11.1)</f>
        <v>11.1</v>
      </c>
      <c r="Q18" s="3" t="n">
        <f aca="false">IFERROR(__xludf.dummyfunction("""COMPUTED_VALUE"""),4)</f>
        <v>4</v>
      </c>
      <c r="R18" s="3"/>
      <c r="S18" s="3"/>
      <c r="T18" s="4" t="n">
        <f aca="false">IFERROR(__xludf.dummyfunction("""COMPUTED_VALUE"""),12.2)</f>
        <v>12.2</v>
      </c>
      <c r="U18" s="3" t="n">
        <f aca="false">IFERROR(__xludf.dummyfunction("""COMPUTED_VALUE"""),4)</f>
        <v>4</v>
      </c>
      <c r="V18" s="3"/>
      <c r="W18" s="3"/>
      <c r="X18" s="4" t="n">
        <f aca="false">IFERROR(__xludf.dummyfunction("""COMPUTED_VALUE"""),10.6)</f>
        <v>10.6</v>
      </c>
      <c r="Y18" s="3" t="n">
        <f aca="false">IFERROR(__xludf.dummyfunction("""COMPUTED_VALUE"""),1)</f>
        <v>1</v>
      </c>
      <c r="Z18" s="3"/>
      <c r="AA18" s="3"/>
      <c r="AB18" s="4" t="n">
        <f aca="false">IFERROR(__xludf.dummyfunction("""COMPUTED_VALUE"""),8.8)</f>
        <v>8.8</v>
      </c>
      <c r="AC18" s="4" t="n">
        <f aca="false">IFERROR(__xludf.dummyfunction("""COMPUTED_VALUE"""),55.25)</f>
        <v>55.25</v>
      </c>
      <c r="AD18" s="3" t="n">
        <f aca="false">IFERROR(__xludf.dummyfunction("""COMPUTED_VALUE"""),22)</f>
        <v>22</v>
      </c>
    </row>
    <row r="19" customFormat="false" ht="15.75" hidden="false" customHeight="false" outlineLevel="0" collapsed="false">
      <c r="A19" s="3" t="n">
        <f aca="false">IFERROR(__xludf.dummyfunction("""COMPUTED_VALUE"""),41)</f>
        <v>41</v>
      </c>
      <c r="B19" s="3" t="str">
        <f aca="false">IFERROR(__xludf.dummyfunction("""COMPUTED_VALUE"""),"Rosie")</f>
        <v>Rosie</v>
      </c>
      <c r="C19" s="3" t="str">
        <f aca="false">IFERROR(__xludf.dummyfunction("""COMPUTED_VALUE"""),"Janes")</f>
        <v>Janes</v>
      </c>
      <c r="D19" s="3" t="str">
        <f aca="false">IFERROR(__xludf.dummyfunction("""COMPUTED_VALUE"""),"HART GC")</f>
        <v>HART GC</v>
      </c>
      <c r="E19" s="3" t="str">
        <f aca="false">IFERROR(__xludf.dummyfunction("""COMPUTED_VALUE"""),"Grade 6")</f>
        <v>Grade 6</v>
      </c>
      <c r="F19" s="3" t="n">
        <f aca="false">IFERROR(__xludf.dummyfunction("""COMPUTED_VALUE"""),4)</f>
        <v>4</v>
      </c>
      <c r="G19" s="3"/>
      <c r="H19" s="3"/>
      <c r="I19" s="3" t="n">
        <f aca="false">IFERROR(__xludf.dummyfunction("""COMPUTED_VALUE"""),4)</f>
        <v>4</v>
      </c>
      <c r="J19" s="3"/>
      <c r="K19" s="3"/>
      <c r="L19" s="4" t="n">
        <f aca="false">IFERROR(__xludf.dummyfunction("""COMPUTED_VALUE"""),12.4)</f>
        <v>12.4</v>
      </c>
      <c r="M19" s="3" t="n">
        <f aca="false">IFERROR(__xludf.dummyfunction("""COMPUTED_VALUE"""),4)</f>
        <v>4</v>
      </c>
      <c r="N19" s="3"/>
      <c r="O19" s="3"/>
      <c r="P19" s="4" t="n">
        <f aca="false">IFERROR(__xludf.dummyfunction("""COMPUTED_VALUE"""),11.2)</f>
        <v>11.2</v>
      </c>
      <c r="Q19" s="3" t="n">
        <f aca="false">IFERROR(__xludf.dummyfunction("""COMPUTED_VALUE"""),3.5)</f>
        <v>3.5</v>
      </c>
      <c r="R19" s="3"/>
      <c r="S19" s="3" t="n">
        <f aca="false">IFERROR(__xludf.dummyfunction("""COMPUTED_VALUE"""),2)</f>
        <v>2</v>
      </c>
      <c r="T19" s="4" t="n">
        <f aca="false">IFERROR(__xludf.dummyfunction("""COMPUTED_VALUE"""),9.2)</f>
        <v>9.2</v>
      </c>
      <c r="U19" s="3" t="n">
        <f aca="false">IFERROR(__xludf.dummyfunction("""COMPUTED_VALUE"""),4)</f>
        <v>4</v>
      </c>
      <c r="V19" s="3"/>
      <c r="W19" s="3"/>
      <c r="X19" s="4" t="n">
        <f aca="false">IFERROR(__xludf.dummyfunction("""COMPUTED_VALUE"""),10.9)</f>
        <v>10.9</v>
      </c>
      <c r="Y19" s="3" t="n">
        <f aca="false">IFERROR(__xludf.dummyfunction("""COMPUTED_VALUE"""),3.5)</f>
        <v>3.5</v>
      </c>
      <c r="Z19" s="3"/>
      <c r="AA19" s="3"/>
      <c r="AB19" s="4" t="n">
        <f aca="false">IFERROR(__xludf.dummyfunction("""COMPUTED_VALUE"""),10.7)</f>
        <v>10.7</v>
      </c>
      <c r="AC19" s="4" t="n">
        <f aca="false">IFERROR(__xludf.dummyfunction("""COMPUTED_VALUE"""),54.4)</f>
        <v>54.4</v>
      </c>
      <c r="AD19" s="3" t="n">
        <f aca="false">IFERROR(__xludf.dummyfunction("""COMPUTED_VALUE"""),26)</f>
        <v>26</v>
      </c>
    </row>
    <row r="20" customFormat="false" ht="15.75" hidden="false" customHeight="false" outlineLevel="0" collapsed="false">
      <c r="A20" s="3" t="n">
        <f aca="false">IFERROR(__xludf.dummyfunction("""COMPUTED_VALUE"""),42)</f>
        <v>42</v>
      </c>
      <c r="B20" s="3" t="str">
        <f aca="false">IFERROR(__xludf.dummyfunction("""COMPUTED_VALUE"""),"Phoebe")</f>
        <v>Phoebe</v>
      </c>
      <c r="C20" s="3" t="str">
        <f aca="false">IFERROR(__xludf.dummyfunction("""COMPUTED_VALUE"""),"Elliott")</f>
        <v>Elliott</v>
      </c>
      <c r="D20" s="3" t="str">
        <f aca="false">IFERROR(__xludf.dummyfunction("""COMPUTED_VALUE"""),"HART GC")</f>
        <v>HART GC</v>
      </c>
      <c r="E20" s="3" t="str">
        <f aca="false">IFERROR(__xludf.dummyfunction("""COMPUTED_VALUE"""),"Grade 6")</f>
        <v>Grade 6</v>
      </c>
      <c r="F20" s="3" t="n">
        <f aca="false">IFERROR(__xludf.dummyfunction("""COMPUTED_VALUE"""),4)</f>
        <v>4</v>
      </c>
      <c r="G20" s="3"/>
      <c r="H20" s="3"/>
      <c r="I20" s="3" t="n">
        <f aca="false">IFERROR(__xludf.dummyfunction("""COMPUTED_VALUE"""),4)</f>
        <v>4</v>
      </c>
      <c r="J20" s="3"/>
      <c r="K20" s="3"/>
      <c r="L20" s="4" t="n">
        <f aca="false">IFERROR(__xludf.dummyfunction("""COMPUTED_VALUE"""),12.7)</f>
        <v>12.7</v>
      </c>
      <c r="M20" s="3" t="n">
        <f aca="false">IFERROR(__xludf.dummyfunction("""COMPUTED_VALUE"""),4)</f>
        <v>4</v>
      </c>
      <c r="N20" s="3"/>
      <c r="O20" s="3"/>
      <c r="P20" s="4" t="n">
        <f aca="false">IFERROR(__xludf.dummyfunction("""COMPUTED_VALUE"""),10.3)</f>
        <v>10.3</v>
      </c>
      <c r="Q20" s="3" t="n">
        <f aca="false">IFERROR(__xludf.dummyfunction("""COMPUTED_VALUE"""),4)</f>
        <v>4</v>
      </c>
      <c r="R20" s="3"/>
      <c r="S20" s="3"/>
      <c r="T20" s="4" t="n">
        <f aca="false">IFERROR(__xludf.dummyfunction("""COMPUTED_VALUE"""),11.5)</f>
        <v>11.5</v>
      </c>
      <c r="U20" s="3" t="n">
        <f aca="false">IFERROR(__xludf.dummyfunction("""COMPUTED_VALUE"""),4)</f>
        <v>4</v>
      </c>
      <c r="V20" s="3"/>
      <c r="W20" s="3"/>
      <c r="X20" s="4" t="n">
        <f aca="false">IFERROR(__xludf.dummyfunction("""COMPUTED_VALUE"""),9.2)</f>
        <v>9.2</v>
      </c>
      <c r="Y20" s="3" t="n">
        <f aca="false">IFERROR(__xludf.dummyfunction("""COMPUTED_VALUE"""),2.5)</f>
        <v>2.5</v>
      </c>
      <c r="Z20" s="3"/>
      <c r="AA20" s="3"/>
      <c r="AB20" s="4" t="n">
        <f aca="false">IFERROR(__xludf.dummyfunction("""COMPUTED_VALUE"""),10.8)</f>
        <v>10.8</v>
      </c>
      <c r="AC20" s="4" t="n">
        <f aca="false">IFERROR(__xludf.dummyfunction("""COMPUTED_VALUE"""),54.5)</f>
        <v>54.5</v>
      </c>
      <c r="AD20" s="3" t="n">
        <f aca="false">IFERROR(__xludf.dummyfunction("""COMPUTED_VALUE"""),23)</f>
        <v>23</v>
      </c>
    </row>
    <row r="21" customFormat="false" ht="15.75" hidden="false" customHeight="false" outlineLevel="0" collapsed="false">
      <c r="A21" s="3" t="n">
        <f aca="false">IFERROR(__xludf.dummyfunction("""COMPUTED_VALUE"""),43)</f>
        <v>43</v>
      </c>
      <c r="B21" s="3" t="str">
        <f aca="false">IFERROR(__xludf.dummyfunction("""COMPUTED_VALUE"""),"Evie")</f>
        <v>Evie</v>
      </c>
      <c r="C21" s="3" t="str">
        <f aca="false">IFERROR(__xludf.dummyfunction("""COMPUTED_VALUE"""),"Jenkin")</f>
        <v>Jenkin</v>
      </c>
      <c r="D21" s="3" t="str">
        <f aca="false">IFERROR(__xludf.dummyfunction("""COMPUTED_VALUE"""),"XCEL")</f>
        <v>XCEL</v>
      </c>
      <c r="E21" s="3" t="str">
        <f aca="false">IFERROR(__xludf.dummyfunction("""COMPUTED_VALUE"""),"Grade 6")</f>
        <v>Grade 6</v>
      </c>
      <c r="F21" s="3" t="n">
        <f aca="false">IFERROR(__xludf.dummyfunction("""COMPUTED_VALUE"""),4)</f>
        <v>4</v>
      </c>
      <c r="G21" s="3"/>
      <c r="H21" s="3"/>
      <c r="I21" s="3" t="n">
        <f aca="false">IFERROR(__xludf.dummyfunction("""COMPUTED_VALUE"""),4)</f>
        <v>4</v>
      </c>
      <c r="J21" s="3"/>
      <c r="K21" s="3"/>
      <c r="L21" s="4" t="n">
        <f aca="false">IFERROR(__xludf.dummyfunction("""COMPUTED_VALUE"""),12.85)</f>
        <v>12.85</v>
      </c>
      <c r="M21" s="3" t="n">
        <f aca="false">IFERROR(__xludf.dummyfunction("""COMPUTED_VALUE"""),4)</f>
        <v>4</v>
      </c>
      <c r="N21" s="3"/>
      <c r="O21" s="3"/>
      <c r="P21" s="4" t="n">
        <f aca="false">IFERROR(__xludf.dummyfunction("""COMPUTED_VALUE"""),11.75)</f>
        <v>11.75</v>
      </c>
      <c r="Q21" s="3" t="n">
        <f aca="false">IFERROR(__xludf.dummyfunction("""COMPUTED_VALUE"""),4)</f>
        <v>4</v>
      </c>
      <c r="R21" s="3"/>
      <c r="S21" s="3"/>
      <c r="T21" s="4" t="n">
        <f aca="false">IFERROR(__xludf.dummyfunction("""COMPUTED_VALUE"""),10.4)</f>
        <v>10.4</v>
      </c>
      <c r="U21" s="3" t="n">
        <f aca="false">IFERROR(__xludf.dummyfunction("""COMPUTED_VALUE"""),4)</f>
        <v>4</v>
      </c>
      <c r="V21" s="3"/>
      <c r="W21" s="3"/>
      <c r="X21" s="4" t="n">
        <f aca="false">IFERROR(__xludf.dummyfunction("""COMPUTED_VALUE"""),10.4)</f>
        <v>10.4</v>
      </c>
      <c r="Y21" s="3" t="n">
        <f aca="false">IFERROR(__xludf.dummyfunction("""COMPUTED_VALUE"""),3.5)</f>
        <v>3.5</v>
      </c>
      <c r="Z21" s="3"/>
      <c r="AA21" s="3"/>
      <c r="AB21" s="4" t="n">
        <f aca="false">IFERROR(__xludf.dummyfunction("""COMPUTED_VALUE"""),11.1)</f>
        <v>11.1</v>
      </c>
      <c r="AC21" s="4" t="n">
        <f aca="false">IFERROR(__xludf.dummyfunction("""COMPUTED_VALUE"""),56.5)</f>
        <v>56.5</v>
      </c>
      <c r="AD21" s="3" t="n">
        <f aca="false">IFERROR(__xludf.dummyfunction("""COMPUTED_VALUE"""),19)</f>
        <v>19</v>
      </c>
    </row>
    <row r="22" customFormat="false" ht="15.75" hidden="false" customHeight="false" outlineLevel="0" collapsed="false">
      <c r="A22" s="3" t="n">
        <f aca="false">IFERROR(__xludf.dummyfunction("""COMPUTED_VALUE"""),44)</f>
        <v>44</v>
      </c>
      <c r="B22" s="3" t="str">
        <f aca="false">IFERROR(__xludf.dummyfunction("""COMPUTED_VALUE"""),"Ava")</f>
        <v>Ava</v>
      </c>
      <c r="C22" s="3" t="str">
        <f aca="false">IFERROR(__xludf.dummyfunction("""COMPUTED_VALUE"""),"Limburn")</f>
        <v>Limburn</v>
      </c>
      <c r="D22" s="3" t="str">
        <f aca="false">IFERROR(__xludf.dummyfunction("""COMPUTED_VALUE"""),"XCEL")</f>
        <v>XCEL</v>
      </c>
      <c r="E22" s="3" t="str">
        <f aca="false">IFERROR(__xludf.dummyfunction("""COMPUTED_VALUE"""),"Grade 6")</f>
        <v>Grade 6</v>
      </c>
      <c r="F22" s="3" t="n">
        <f aca="false">IFERROR(__xludf.dummyfunction("""COMPUTED_VALUE"""),4)</f>
        <v>4</v>
      </c>
      <c r="G22" s="3"/>
      <c r="H22" s="3"/>
      <c r="I22" s="3" t="n">
        <f aca="false">IFERROR(__xludf.dummyfunction("""COMPUTED_VALUE"""),4)</f>
        <v>4</v>
      </c>
      <c r="J22" s="3"/>
      <c r="K22" s="3"/>
      <c r="L22" s="4" t="n">
        <f aca="false">IFERROR(__xludf.dummyfunction("""COMPUTED_VALUE"""),12.65)</f>
        <v>12.65</v>
      </c>
      <c r="M22" s="3" t="n">
        <f aca="false">IFERROR(__xludf.dummyfunction("""COMPUTED_VALUE"""),4)</f>
        <v>4</v>
      </c>
      <c r="N22" s="3"/>
      <c r="O22" s="3"/>
      <c r="P22" s="4" t="n">
        <f aca="false">IFERROR(__xludf.dummyfunction("""COMPUTED_VALUE"""),11.85)</f>
        <v>11.85</v>
      </c>
      <c r="Q22" s="3" t="n">
        <f aca="false">IFERROR(__xludf.dummyfunction("""COMPUTED_VALUE"""),4)</f>
        <v>4</v>
      </c>
      <c r="R22" s="3"/>
      <c r="S22" s="3"/>
      <c r="T22" s="4" t="n">
        <f aca="false">IFERROR(__xludf.dummyfunction("""COMPUTED_VALUE"""),12.2)</f>
        <v>12.2</v>
      </c>
      <c r="U22" s="3" t="n">
        <f aca="false">IFERROR(__xludf.dummyfunction("""COMPUTED_VALUE"""),4)</f>
        <v>4</v>
      </c>
      <c r="V22" s="3"/>
      <c r="W22" s="3"/>
      <c r="X22" s="4" t="n">
        <f aca="false">IFERROR(__xludf.dummyfunction("""COMPUTED_VALUE"""),10.5)</f>
        <v>10.5</v>
      </c>
      <c r="Y22" s="3" t="n">
        <f aca="false">IFERROR(__xludf.dummyfunction("""COMPUTED_VALUE"""),3.5)</f>
        <v>3.5</v>
      </c>
      <c r="Z22" s="3"/>
      <c r="AA22" s="3"/>
      <c r="AB22" s="4" t="n">
        <f aca="false">IFERROR(__xludf.dummyfunction("""COMPUTED_VALUE"""),10.55)</f>
        <v>10.55</v>
      </c>
      <c r="AC22" s="4" t="n">
        <f aca="false">IFERROR(__xludf.dummyfunction("""COMPUTED_VALUE"""),57.75)</f>
        <v>57.75</v>
      </c>
      <c r="AD22" s="3" t="n">
        <f aca="false">IFERROR(__xludf.dummyfunction("""COMPUTED_VALUE"""),16)</f>
        <v>16</v>
      </c>
    </row>
    <row r="23" customFormat="false" ht="15.75" hidden="false" customHeight="false" outlineLevel="0" collapsed="false">
      <c r="A23" s="3" t="n">
        <f aca="false">IFERROR(__xludf.dummyfunction("""COMPUTED_VALUE"""),45)</f>
        <v>45</v>
      </c>
      <c r="B23" s="3" t="str">
        <f aca="false">IFERROR(__xludf.dummyfunction("""COMPUTED_VALUE"""),"Indie")</f>
        <v>Indie</v>
      </c>
      <c r="C23" s="3" t="str">
        <f aca="false">IFERROR(__xludf.dummyfunction("""COMPUTED_VALUE"""),"Orchard")</f>
        <v>Orchard</v>
      </c>
      <c r="D23" s="3" t="str">
        <f aca="false">IFERROR(__xludf.dummyfunction("""COMPUTED_VALUE"""),"LEGA")</f>
        <v>LEGA</v>
      </c>
      <c r="E23" s="3" t="str">
        <f aca="false">IFERROR(__xludf.dummyfunction("""COMPUTED_VALUE"""),"Grade 6")</f>
        <v>Grade 6</v>
      </c>
      <c r="F23" s="3" t="n">
        <f aca="false">IFERROR(__xludf.dummyfunction("""COMPUTED_VALUE"""),4)</f>
        <v>4</v>
      </c>
      <c r="G23" s="3"/>
      <c r="H23" s="3"/>
      <c r="I23" s="3" t="n">
        <f aca="false">IFERROR(__xludf.dummyfunction("""COMPUTED_VALUE"""),4)</f>
        <v>4</v>
      </c>
      <c r="J23" s="3"/>
      <c r="K23" s="3"/>
      <c r="L23" s="4" t="n">
        <f aca="false">IFERROR(__xludf.dummyfunction("""COMPUTED_VALUE"""),12.85)</f>
        <v>12.85</v>
      </c>
      <c r="M23" s="3" t="n">
        <f aca="false">IFERROR(__xludf.dummyfunction("""COMPUTED_VALUE"""),4)</f>
        <v>4</v>
      </c>
      <c r="N23" s="3"/>
      <c r="O23" s="3"/>
      <c r="P23" s="4" t="n">
        <f aca="false">IFERROR(__xludf.dummyfunction("""COMPUTED_VALUE"""),12.65)</f>
        <v>12.65</v>
      </c>
      <c r="Q23" s="3" t="n">
        <f aca="false">IFERROR(__xludf.dummyfunction("""COMPUTED_VALUE"""),4)</f>
        <v>4</v>
      </c>
      <c r="R23" s="3"/>
      <c r="S23" s="3"/>
      <c r="T23" s="4" t="n">
        <f aca="false">IFERROR(__xludf.dummyfunction("""COMPUTED_VALUE"""),12.2)</f>
        <v>12.2</v>
      </c>
      <c r="U23" s="3" t="n">
        <f aca="false">IFERROR(__xludf.dummyfunction("""COMPUTED_VALUE"""),3.5)</f>
        <v>3.5</v>
      </c>
      <c r="V23" s="3"/>
      <c r="W23" s="3"/>
      <c r="X23" s="4" t="n">
        <f aca="false">IFERROR(__xludf.dummyfunction("""COMPUTED_VALUE"""),10.3)</f>
        <v>10.3</v>
      </c>
      <c r="Y23" s="3" t="n">
        <f aca="false">IFERROR(__xludf.dummyfunction("""COMPUTED_VALUE"""),4)</f>
        <v>4</v>
      </c>
      <c r="Z23" s="3"/>
      <c r="AA23" s="3"/>
      <c r="AB23" s="4" t="n">
        <f aca="false">IFERROR(__xludf.dummyfunction("""COMPUTED_VALUE"""),13)</f>
        <v>13</v>
      </c>
      <c r="AC23" s="4" t="n">
        <f aca="false">IFERROR(__xludf.dummyfunction("""COMPUTED_VALUE"""),61)</f>
        <v>61</v>
      </c>
      <c r="AD23" s="3" t="n">
        <f aca="false">IFERROR(__xludf.dummyfunction("""COMPUTED_VALUE"""),9)</f>
        <v>9</v>
      </c>
    </row>
    <row r="24" customFormat="false" ht="15.75" hidden="false" customHeight="false" outlineLevel="0" collapsed="false">
      <c r="A24" s="3" t="n">
        <f aca="false">IFERROR(__xludf.dummyfunction("""COMPUTED_VALUE"""),46)</f>
        <v>46</v>
      </c>
      <c r="B24" s="3" t="str">
        <f aca="false">IFERROR(__xludf.dummyfunction("""COMPUTED_VALUE"""),"Faye")</f>
        <v>Faye</v>
      </c>
      <c r="C24" s="3" t="str">
        <f aca="false">IFERROR(__xludf.dummyfunction("""COMPUTED_VALUE"""),"Bullock")</f>
        <v>Bullock</v>
      </c>
      <c r="D24" s="3" t="str">
        <f aca="false">IFERROR(__xludf.dummyfunction("""COMPUTED_VALUE"""),"PGC")</f>
        <v>PGC</v>
      </c>
      <c r="E24" s="3" t="str">
        <f aca="false">IFERROR(__xludf.dummyfunction("""COMPUTED_VALUE"""),"Grade 6")</f>
        <v>Grade 6</v>
      </c>
      <c r="F24" s="3" t="n">
        <f aca="false">IFERROR(__xludf.dummyfunction("""COMPUTED_VALUE"""),4)</f>
        <v>4</v>
      </c>
      <c r="G24" s="3"/>
      <c r="H24" s="3"/>
      <c r="I24" s="3" t="n">
        <f aca="false">IFERROR(__xludf.dummyfunction("""COMPUTED_VALUE"""),4)</f>
        <v>4</v>
      </c>
      <c r="J24" s="3"/>
      <c r="K24" s="3"/>
      <c r="L24" s="4" t="n">
        <f aca="false">IFERROR(__xludf.dummyfunction("""COMPUTED_VALUE"""),13)</f>
        <v>13</v>
      </c>
      <c r="M24" s="3" t="n">
        <f aca="false">IFERROR(__xludf.dummyfunction("""COMPUTED_VALUE"""),4)</f>
        <v>4</v>
      </c>
      <c r="N24" s="3"/>
      <c r="O24" s="3"/>
      <c r="P24" s="4" t="n">
        <f aca="false">IFERROR(__xludf.dummyfunction("""COMPUTED_VALUE"""),13.45)</f>
        <v>13.45</v>
      </c>
      <c r="Q24" s="3" t="n">
        <f aca="false">IFERROR(__xludf.dummyfunction("""COMPUTED_VALUE"""),4)</f>
        <v>4</v>
      </c>
      <c r="R24" s="3"/>
      <c r="S24" s="3"/>
      <c r="T24" s="4" t="n">
        <f aca="false">IFERROR(__xludf.dummyfunction("""COMPUTED_VALUE"""),13.1)</f>
        <v>13.1</v>
      </c>
      <c r="U24" s="3" t="n">
        <f aca="false">IFERROR(__xludf.dummyfunction("""COMPUTED_VALUE"""),4)</f>
        <v>4</v>
      </c>
      <c r="V24" s="3"/>
      <c r="W24" s="3"/>
      <c r="X24" s="4" t="n">
        <f aca="false">IFERROR(__xludf.dummyfunction("""COMPUTED_VALUE"""),11.65)</f>
        <v>11.65</v>
      </c>
      <c r="Y24" s="3" t="n">
        <f aca="false">IFERROR(__xludf.dummyfunction("""COMPUTED_VALUE"""),4)</f>
        <v>4</v>
      </c>
      <c r="Z24" s="3"/>
      <c r="AA24" s="3"/>
      <c r="AB24" s="4" t="n">
        <f aca="false">IFERROR(__xludf.dummyfunction("""COMPUTED_VALUE"""),13.4)</f>
        <v>13.4</v>
      </c>
      <c r="AC24" s="4" t="n">
        <f aca="false">IFERROR(__xludf.dummyfunction("""COMPUTED_VALUE"""),64.6)</f>
        <v>64.6</v>
      </c>
      <c r="AD24" s="3" t="n">
        <f aca="false">IFERROR(__xludf.dummyfunction("""COMPUTED_VALUE"""),2)</f>
        <v>2</v>
      </c>
    </row>
    <row r="25" customFormat="false" ht="15.75" hidden="false" customHeight="false" outlineLevel="0" collapsed="false">
      <c r="A25" s="3" t="n">
        <f aca="false">IFERROR(__xludf.dummyfunction("""COMPUTED_VALUE"""),47)</f>
        <v>47</v>
      </c>
      <c r="B25" s="3" t="str">
        <f aca="false">IFERROR(__xludf.dummyfunction("""COMPUTED_VALUE"""),"Minnie")</f>
        <v>Minnie</v>
      </c>
      <c r="C25" s="3" t="str">
        <f aca="false">IFERROR(__xludf.dummyfunction("""COMPUTED_VALUE"""),"Cooper")</f>
        <v>Cooper</v>
      </c>
      <c r="D25" s="3" t="str">
        <f aca="false">IFERROR(__xludf.dummyfunction("""COMPUTED_VALUE"""),"PGC")</f>
        <v>PGC</v>
      </c>
      <c r="E25" s="3" t="str">
        <f aca="false">IFERROR(__xludf.dummyfunction("""COMPUTED_VALUE"""),"Grade 6")</f>
        <v>Grade 6</v>
      </c>
      <c r="F25" s="3" t="n">
        <f aca="false">IFERROR(__xludf.dummyfunction("""COMPUTED_VALUE"""),4)</f>
        <v>4</v>
      </c>
      <c r="G25" s="3"/>
      <c r="H25" s="3"/>
      <c r="I25" s="3" t="n">
        <f aca="false">IFERROR(__xludf.dummyfunction("""COMPUTED_VALUE"""),4)</f>
        <v>4</v>
      </c>
      <c r="J25" s="3"/>
      <c r="K25" s="3"/>
      <c r="L25" s="4" t="n">
        <f aca="false">IFERROR(__xludf.dummyfunction("""COMPUTED_VALUE"""),13.15)</f>
        <v>13.15</v>
      </c>
      <c r="M25" s="3" t="n">
        <f aca="false">IFERROR(__xludf.dummyfunction("""COMPUTED_VALUE"""),4)</f>
        <v>4</v>
      </c>
      <c r="N25" s="3"/>
      <c r="O25" s="3"/>
      <c r="P25" s="4" t="n">
        <f aca="false">IFERROR(__xludf.dummyfunction("""COMPUTED_VALUE"""),13.45)</f>
        <v>13.45</v>
      </c>
      <c r="Q25" s="3" t="n">
        <f aca="false">IFERROR(__xludf.dummyfunction("""COMPUTED_VALUE"""),4)</f>
        <v>4</v>
      </c>
      <c r="R25" s="3"/>
      <c r="S25" s="3"/>
      <c r="T25" s="4" t="n">
        <f aca="false">IFERROR(__xludf.dummyfunction("""COMPUTED_VALUE"""),13.2)</f>
        <v>13.2</v>
      </c>
      <c r="U25" s="3" t="n">
        <f aca="false">IFERROR(__xludf.dummyfunction("""COMPUTED_VALUE"""),4)</f>
        <v>4</v>
      </c>
      <c r="V25" s="3"/>
      <c r="W25" s="3"/>
      <c r="X25" s="4" t="n">
        <f aca="false">IFERROR(__xludf.dummyfunction("""COMPUTED_VALUE"""),12.15)</f>
        <v>12.15</v>
      </c>
      <c r="Y25" s="3" t="n">
        <f aca="false">IFERROR(__xludf.dummyfunction("""COMPUTED_VALUE"""),4)</f>
        <v>4</v>
      </c>
      <c r="Z25" s="3"/>
      <c r="AA25" s="3"/>
      <c r="AB25" s="4" t="n">
        <f aca="false">IFERROR(__xludf.dummyfunction("""COMPUTED_VALUE"""),13.4)</f>
        <v>13.4</v>
      </c>
      <c r="AC25" s="4" t="n">
        <f aca="false">IFERROR(__xludf.dummyfunction("""COMPUTED_VALUE"""),65.35)</f>
        <v>65.35</v>
      </c>
      <c r="AD25" s="3" t="n">
        <f aca="false">IFERROR(__xludf.dummyfunction("""COMPUTED_VALUE"""),1)</f>
        <v>1</v>
      </c>
    </row>
    <row r="26" customFormat="false" ht="15.75" hidden="false" customHeight="false" outlineLevel="0" collapsed="false">
      <c r="A26" s="3" t="n">
        <f aca="false">IFERROR(__xludf.dummyfunction("""COMPUTED_VALUE"""),48)</f>
        <v>48</v>
      </c>
      <c r="B26" s="3" t="str">
        <f aca="false">IFERROR(__xludf.dummyfunction("""COMPUTED_VALUE"""),"Harper")</f>
        <v>Harper</v>
      </c>
      <c r="C26" s="3" t="str">
        <f aca="false">IFERROR(__xludf.dummyfunction("""COMPUTED_VALUE"""),"Steward")</f>
        <v>Steward</v>
      </c>
      <c r="D26" s="3" t="str">
        <f aca="false">IFERROR(__xludf.dummyfunction("""COMPUTED_VALUE"""),"PGC")</f>
        <v>PGC</v>
      </c>
      <c r="E26" s="3" t="str">
        <f aca="false">IFERROR(__xludf.dummyfunction("""COMPUTED_VALUE"""),"Grade 6")</f>
        <v>Grade 6</v>
      </c>
      <c r="F26" s="3" t="n">
        <f aca="false">IFERROR(__xludf.dummyfunction("""COMPUTED_VALUE"""),4)</f>
        <v>4</v>
      </c>
      <c r="G26" s="3"/>
      <c r="H26" s="3"/>
      <c r="I26" s="3" t="n">
        <f aca="false">IFERROR(__xludf.dummyfunction("""COMPUTED_VALUE"""),4)</f>
        <v>4</v>
      </c>
      <c r="J26" s="3"/>
      <c r="K26" s="3"/>
      <c r="L26" s="4" t="n">
        <f aca="false">IFERROR(__xludf.dummyfunction("""COMPUTED_VALUE"""),13.1)</f>
        <v>13.1</v>
      </c>
      <c r="M26" s="3" t="n">
        <f aca="false">IFERROR(__xludf.dummyfunction("""COMPUTED_VALUE"""),4)</f>
        <v>4</v>
      </c>
      <c r="N26" s="3"/>
      <c r="O26" s="3"/>
      <c r="P26" s="4" t="n">
        <f aca="false">IFERROR(__xludf.dummyfunction("""COMPUTED_VALUE"""),13.1)</f>
        <v>13.1</v>
      </c>
      <c r="Q26" s="3" t="n">
        <f aca="false">IFERROR(__xludf.dummyfunction("""COMPUTED_VALUE"""),4)</f>
        <v>4</v>
      </c>
      <c r="R26" s="3"/>
      <c r="S26" s="3"/>
      <c r="T26" s="4" t="n">
        <f aca="false">IFERROR(__xludf.dummyfunction("""COMPUTED_VALUE"""),12.6)</f>
        <v>12.6</v>
      </c>
      <c r="U26" s="3" t="n">
        <f aca="false">IFERROR(__xludf.dummyfunction("""COMPUTED_VALUE"""),4)</f>
        <v>4</v>
      </c>
      <c r="V26" s="3"/>
      <c r="W26" s="3"/>
      <c r="X26" s="4" t="n">
        <f aca="false">IFERROR(__xludf.dummyfunction("""COMPUTED_VALUE"""),12.05)</f>
        <v>12.05</v>
      </c>
      <c r="Y26" s="3" t="n">
        <f aca="false">IFERROR(__xludf.dummyfunction("""COMPUTED_VALUE"""),3.5)</f>
        <v>3.5</v>
      </c>
      <c r="Z26" s="3"/>
      <c r="AA26" s="3"/>
      <c r="AB26" s="4" t="n">
        <f aca="false">IFERROR(__xludf.dummyfunction("""COMPUTED_VALUE"""),12.1)</f>
        <v>12.1</v>
      </c>
      <c r="AC26" s="4" t="n">
        <f aca="false">IFERROR(__xludf.dummyfunction("""COMPUTED_VALUE"""),62.95)</f>
        <v>62.95</v>
      </c>
      <c r="AD26" s="3" t="n">
        <f aca="false">IFERROR(__xludf.dummyfunction("""COMPUTED_VALUE"""),3)</f>
        <v>3</v>
      </c>
    </row>
    <row r="27" customFormat="false" ht="15.75" hidden="false" customHeight="false" outlineLevel="0" collapsed="false">
      <c r="A27" s="3" t="n">
        <f aca="false">IFERROR(__xludf.dummyfunction("""COMPUTED_VALUE"""),49)</f>
        <v>49</v>
      </c>
      <c r="B27" s="3" t="str">
        <f aca="false">IFERROR(__xludf.dummyfunction("""COMPUTED_VALUE"""),"Eliza")</f>
        <v>Eliza</v>
      </c>
      <c r="C27" s="3" t="str">
        <f aca="false">IFERROR(__xludf.dummyfunction("""COMPUTED_VALUE"""),"Blin")</f>
        <v>Blin</v>
      </c>
      <c r="D27" s="3" t="str">
        <f aca="false">IFERROR(__xludf.dummyfunction("""COMPUTED_VALUE"""),"FLEX GC")</f>
        <v>FLEX GC</v>
      </c>
      <c r="E27" s="3" t="str">
        <f aca="false">IFERROR(__xludf.dummyfunction("""COMPUTED_VALUE"""),"Grade 6")</f>
        <v>Grade 6</v>
      </c>
      <c r="F27" s="3" t="n">
        <f aca="false">IFERROR(__xludf.dummyfunction("""COMPUTED_VALUE"""),4)</f>
        <v>4</v>
      </c>
      <c r="G27" s="3"/>
      <c r="H27" s="3"/>
      <c r="I27" s="3" t="n">
        <f aca="false">IFERROR(__xludf.dummyfunction("""COMPUTED_VALUE"""),4)</f>
        <v>4</v>
      </c>
      <c r="J27" s="3"/>
      <c r="K27" s="3"/>
      <c r="L27" s="4" t="n">
        <f aca="false">IFERROR(__xludf.dummyfunction("""COMPUTED_VALUE"""),12.95)</f>
        <v>12.95</v>
      </c>
      <c r="M27" s="3" t="n">
        <f aca="false">IFERROR(__xludf.dummyfunction("""COMPUTED_VALUE"""),4)</f>
        <v>4</v>
      </c>
      <c r="N27" s="3"/>
      <c r="O27" s="3"/>
      <c r="P27" s="4" t="n">
        <f aca="false">IFERROR(__xludf.dummyfunction("""COMPUTED_VALUE"""),11.75)</f>
        <v>11.75</v>
      </c>
      <c r="Q27" s="3" t="n">
        <f aca="false">IFERROR(__xludf.dummyfunction("""COMPUTED_VALUE"""),4)</f>
        <v>4</v>
      </c>
      <c r="R27" s="3"/>
      <c r="S27" s="3"/>
      <c r="T27" s="4" t="n">
        <f aca="false">IFERROR(__xludf.dummyfunction("""COMPUTED_VALUE"""),12.8)</f>
        <v>12.8</v>
      </c>
      <c r="U27" s="3" t="n">
        <f aca="false">IFERROR(__xludf.dummyfunction("""COMPUTED_VALUE"""),4)</f>
        <v>4</v>
      </c>
      <c r="V27" s="3"/>
      <c r="W27" s="3"/>
      <c r="X27" s="4" t="n">
        <f aca="false">IFERROR(__xludf.dummyfunction("""COMPUTED_VALUE"""),11.3)</f>
        <v>11.3</v>
      </c>
      <c r="Y27" s="3" t="n">
        <f aca="false">IFERROR(__xludf.dummyfunction("""COMPUTED_VALUE"""),4)</f>
        <v>4</v>
      </c>
      <c r="Z27" s="3"/>
      <c r="AA27" s="3"/>
      <c r="AB27" s="4" t="n">
        <f aca="false">IFERROR(__xludf.dummyfunction("""COMPUTED_VALUE"""),12.4)</f>
        <v>12.4</v>
      </c>
      <c r="AC27" s="4" t="n">
        <f aca="false">IFERROR(__xludf.dummyfunction("""COMPUTED_VALUE"""),61.2)</f>
        <v>61.2</v>
      </c>
      <c r="AD27" s="3" t="n">
        <f aca="false">IFERROR(__xludf.dummyfunction("""COMPUTED_VALUE"""),8)</f>
        <v>8</v>
      </c>
    </row>
    <row r="28" customFormat="false" ht="15.75" hidden="false" customHeight="false" outlineLevel="0" collapsed="false">
      <c r="A28" s="3" t="n">
        <f aca="false">IFERROR(__xludf.dummyfunction("""COMPUTED_VALUE"""),1)</f>
        <v>1</v>
      </c>
      <c r="B28" s="3" t="str">
        <f aca="false">IFERROR(__xludf.dummyfunction("""COMPUTED_VALUE"""),"Eliza")</f>
        <v>Eliza</v>
      </c>
      <c r="C28" s="3" t="str">
        <f aca="false">IFERROR(__xludf.dummyfunction("""COMPUTED_VALUE"""),"Barsby")</f>
        <v>Barsby</v>
      </c>
      <c r="D28" s="3" t="str">
        <f aca="false">IFERROR(__xludf.dummyfunction("""COMPUTED_VALUE"""),"BAS GC")</f>
        <v>BAS GC</v>
      </c>
      <c r="E28" s="3" t="str">
        <f aca="false">IFERROR(__xludf.dummyfunction("""COMPUTED_VALUE"""),"Grade 6")</f>
        <v>Grade 6</v>
      </c>
      <c r="F28" s="3" t="n">
        <f aca="false">IFERROR(__xludf.dummyfunction("""COMPUTED_VALUE"""),0)</f>
        <v>0</v>
      </c>
      <c r="G28" s="3"/>
      <c r="H28" s="3"/>
      <c r="I28" s="3" t="n">
        <f aca="false">IFERROR(__xludf.dummyfunction("""COMPUTED_VALUE"""),0)</f>
        <v>0</v>
      </c>
      <c r="J28" s="3"/>
      <c r="K28" s="3"/>
      <c r="L28" s="4" t="n">
        <f aca="false">IFERROR(__xludf.dummyfunction("""COMPUTED_VALUE"""),0)</f>
        <v>0</v>
      </c>
      <c r="M28" s="3"/>
      <c r="N28" s="3"/>
      <c r="O28" s="3"/>
      <c r="P28" s="4" t="n">
        <f aca="false">IFERROR(__xludf.dummyfunction("""COMPUTED_VALUE"""),0)</f>
        <v>0</v>
      </c>
      <c r="Q28" s="3"/>
      <c r="R28" s="3"/>
      <c r="S28" s="3"/>
      <c r="T28" s="4" t="n">
        <f aca="false">IFERROR(__xludf.dummyfunction("""COMPUTED_VALUE"""),0)</f>
        <v>0</v>
      </c>
      <c r="U28" s="3"/>
      <c r="V28" s="3"/>
      <c r="W28" s="3"/>
      <c r="X28" s="4" t="n">
        <f aca="false">IFERROR(__xludf.dummyfunction("""COMPUTED_VALUE"""),0)</f>
        <v>0</v>
      </c>
      <c r="Y28" s="3"/>
      <c r="Z28" s="3"/>
      <c r="AA28" s="3"/>
      <c r="AB28" s="4" t="n">
        <f aca="false">IFERROR(__xludf.dummyfunction("""COMPUTED_VALUE"""),0)</f>
        <v>0</v>
      </c>
      <c r="AC28" s="4" t="n">
        <f aca="false">IFERROR(__xludf.dummyfunction("""COMPUTED_VALUE"""),0)</f>
        <v>0</v>
      </c>
      <c r="AD28" s="3" t="n">
        <f aca="false">IFERROR(__xludf.dummyfunction("""COMPUTED_VALUE"""),39)</f>
        <v>39</v>
      </c>
    </row>
    <row r="29" customFormat="false" ht="15.75" hidden="false" customHeight="false" outlineLevel="0" collapsed="false">
      <c r="A29" s="3" t="n">
        <f aca="false">IFERROR(__xludf.dummyfunction("""COMPUTED_VALUE"""),2)</f>
        <v>2</v>
      </c>
      <c r="B29" s="3" t="str">
        <f aca="false">IFERROR(__xludf.dummyfunction("""COMPUTED_VALUE"""),"Eve")</f>
        <v>Eve</v>
      </c>
      <c r="C29" s="3" t="str">
        <f aca="false">IFERROR(__xludf.dummyfunction("""COMPUTED_VALUE"""),"Trompeter")</f>
        <v>Trompeter</v>
      </c>
      <c r="D29" s="3" t="str">
        <f aca="false">IFERROR(__xludf.dummyfunction("""COMPUTED_VALUE"""),"BAS GC")</f>
        <v>BAS GC</v>
      </c>
      <c r="E29" s="3" t="str">
        <f aca="false">IFERROR(__xludf.dummyfunction("""COMPUTED_VALUE"""),"Grade 6")</f>
        <v>Grade 6</v>
      </c>
      <c r="F29" s="3" t="n">
        <f aca="false">IFERROR(__xludf.dummyfunction("""COMPUTED_VALUE"""),4)</f>
        <v>4</v>
      </c>
      <c r="G29" s="3"/>
      <c r="H29" s="3"/>
      <c r="I29" s="3" t="n">
        <f aca="false">IFERROR(__xludf.dummyfunction("""COMPUTED_VALUE"""),4)</f>
        <v>4</v>
      </c>
      <c r="J29" s="3"/>
      <c r="K29" s="3"/>
      <c r="L29" s="4" t="n">
        <f aca="false">IFERROR(__xludf.dummyfunction("""COMPUTED_VALUE"""),12.9)</f>
        <v>12.9</v>
      </c>
      <c r="M29" s="3" t="n">
        <f aca="false">IFERROR(__xludf.dummyfunction("""COMPUTED_VALUE"""),4)</f>
        <v>4</v>
      </c>
      <c r="N29" s="3"/>
      <c r="O29" s="3"/>
      <c r="P29" s="4" t="n">
        <f aca="false">IFERROR(__xludf.dummyfunction("""COMPUTED_VALUE"""),12.75)</f>
        <v>12.75</v>
      </c>
      <c r="Q29" s="3" t="n">
        <f aca="false">IFERROR(__xludf.dummyfunction("""COMPUTED_VALUE"""),4)</f>
        <v>4</v>
      </c>
      <c r="R29" s="3"/>
      <c r="S29" s="3"/>
      <c r="T29" s="4" t="n">
        <f aca="false">IFERROR(__xludf.dummyfunction("""COMPUTED_VALUE"""),11.7)</f>
        <v>11.7</v>
      </c>
      <c r="U29" s="3" t="n">
        <f aca="false">IFERROR(__xludf.dummyfunction("""COMPUTED_VALUE"""),4)</f>
        <v>4</v>
      </c>
      <c r="V29" s="3"/>
      <c r="W29" s="3"/>
      <c r="X29" s="4" t="n">
        <f aca="false">IFERROR(__xludf.dummyfunction("""COMPUTED_VALUE"""),12)</f>
        <v>12</v>
      </c>
      <c r="Y29" s="3" t="n">
        <f aca="false">IFERROR(__xludf.dummyfunction("""COMPUTED_VALUE"""),4)</f>
        <v>4</v>
      </c>
      <c r="Z29" s="3"/>
      <c r="AA29" s="3"/>
      <c r="AB29" s="4" t="n">
        <f aca="false">IFERROR(__xludf.dummyfunction("""COMPUTED_VALUE"""),13.15)</f>
        <v>13.15</v>
      </c>
      <c r="AC29" s="4" t="n">
        <f aca="false">IFERROR(__xludf.dummyfunction("""COMPUTED_VALUE"""),62.5)</f>
        <v>62.5</v>
      </c>
      <c r="AD29" s="3" t="n">
        <f aca="false">IFERROR(__xludf.dummyfunction("""COMPUTED_VALUE"""),6)</f>
        <v>6</v>
      </c>
    </row>
    <row r="30" customFormat="false" ht="15.75" hidden="false" customHeight="false" outlineLevel="0" collapsed="false">
      <c r="A30" s="3" t="n">
        <f aca="false">IFERROR(__xludf.dummyfunction("""COMPUTED_VALUE"""),3)</f>
        <v>3</v>
      </c>
      <c r="B30" s="3" t="str">
        <f aca="false">IFERROR(__xludf.dummyfunction("""COMPUTED_VALUE"""),"Hetty")</f>
        <v>Hetty</v>
      </c>
      <c r="C30" s="3" t="str">
        <f aca="false">IFERROR(__xludf.dummyfunction("""COMPUTED_VALUE"""),"Martin")</f>
        <v>Martin</v>
      </c>
      <c r="D30" s="3" t="str">
        <f aca="false">IFERROR(__xludf.dummyfunction("""COMPUTED_VALUE"""),"BAS GC")</f>
        <v>BAS GC</v>
      </c>
      <c r="E30" s="3" t="str">
        <f aca="false">IFERROR(__xludf.dummyfunction("""COMPUTED_VALUE"""),"Grade 6")</f>
        <v>Grade 6</v>
      </c>
      <c r="F30" s="3" t="n">
        <f aca="false">IFERROR(__xludf.dummyfunction("""COMPUTED_VALUE"""),4)</f>
        <v>4</v>
      </c>
      <c r="G30" s="3"/>
      <c r="H30" s="3"/>
      <c r="I30" s="3" t="n">
        <f aca="false">IFERROR(__xludf.dummyfunction("""COMPUTED_VALUE"""),4)</f>
        <v>4</v>
      </c>
      <c r="J30" s="3"/>
      <c r="K30" s="3"/>
      <c r="L30" s="4" t="n">
        <f aca="false">IFERROR(__xludf.dummyfunction("""COMPUTED_VALUE"""),13.05)</f>
        <v>13.05</v>
      </c>
      <c r="M30" s="3" t="n">
        <f aca="false">IFERROR(__xludf.dummyfunction("""COMPUTED_VALUE"""),4)</f>
        <v>4</v>
      </c>
      <c r="N30" s="3"/>
      <c r="O30" s="3"/>
      <c r="P30" s="4" t="n">
        <f aca="false">IFERROR(__xludf.dummyfunction("""COMPUTED_VALUE"""),13.05)</f>
        <v>13.05</v>
      </c>
      <c r="Q30" s="3" t="n">
        <f aca="false">IFERROR(__xludf.dummyfunction("""COMPUTED_VALUE"""),4)</f>
        <v>4</v>
      </c>
      <c r="R30" s="3"/>
      <c r="S30" s="3"/>
      <c r="T30" s="4" t="n">
        <f aca="false">IFERROR(__xludf.dummyfunction("""COMPUTED_VALUE"""),13)</f>
        <v>13</v>
      </c>
      <c r="U30" s="3" t="n">
        <f aca="false">IFERROR(__xludf.dummyfunction("""COMPUTED_VALUE"""),4)</f>
        <v>4</v>
      </c>
      <c r="V30" s="3"/>
      <c r="W30" s="3"/>
      <c r="X30" s="4" t="n">
        <f aca="false">IFERROR(__xludf.dummyfunction("""COMPUTED_VALUE"""),11.95)</f>
        <v>11.95</v>
      </c>
      <c r="Y30" s="3" t="n">
        <f aca="false">IFERROR(__xludf.dummyfunction("""COMPUTED_VALUE"""),3.5)</f>
        <v>3.5</v>
      </c>
      <c r="Z30" s="3"/>
      <c r="AA30" s="3"/>
      <c r="AB30" s="4" t="n">
        <f aca="false">IFERROR(__xludf.dummyfunction("""COMPUTED_VALUE"""),11.85)</f>
        <v>11.85</v>
      </c>
      <c r="AC30" s="4" t="n">
        <f aca="false">IFERROR(__xludf.dummyfunction("""COMPUTED_VALUE"""),62.9)</f>
        <v>62.9</v>
      </c>
      <c r="AD30" s="3" t="n">
        <f aca="false">IFERROR(__xludf.dummyfunction("""COMPUTED_VALUE"""),4)</f>
        <v>4</v>
      </c>
    </row>
    <row r="31" customFormat="false" ht="15.75" hidden="false" customHeight="false" outlineLevel="0" collapsed="false">
      <c r="A31" s="3" t="n">
        <f aca="false">IFERROR(__xludf.dummyfunction("""COMPUTED_VALUE"""),4)</f>
        <v>4</v>
      </c>
      <c r="B31" s="3" t="str">
        <f aca="false">IFERROR(__xludf.dummyfunction("""COMPUTED_VALUE"""),"Amy")</f>
        <v>Amy</v>
      </c>
      <c r="C31" s="3" t="str">
        <f aca="false">IFERROR(__xludf.dummyfunction("""COMPUTED_VALUE"""),"Budzynska")</f>
        <v>Budzynska</v>
      </c>
      <c r="D31" s="3" t="str">
        <f aca="false">IFERROR(__xludf.dummyfunction("""COMPUTED_VALUE"""),"BAS GC")</f>
        <v>BAS GC</v>
      </c>
      <c r="E31" s="3" t="str">
        <f aca="false">IFERROR(__xludf.dummyfunction("""COMPUTED_VALUE"""),"Grade 6")</f>
        <v>Grade 6</v>
      </c>
      <c r="F31" s="3" t="n">
        <f aca="false">IFERROR(__xludf.dummyfunction("""COMPUTED_VALUE"""),4)</f>
        <v>4</v>
      </c>
      <c r="G31" s="3"/>
      <c r="H31" s="3"/>
      <c r="I31" s="3" t="n">
        <f aca="false">IFERROR(__xludf.dummyfunction("""COMPUTED_VALUE"""),4)</f>
        <v>4</v>
      </c>
      <c r="J31" s="3"/>
      <c r="K31" s="3"/>
      <c r="L31" s="4" t="n">
        <f aca="false">IFERROR(__xludf.dummyfunction("""COMPUTED_VALUE"""),13.3)</f>
        <v>13.3</v>
      </c>
      <c r="M31" s="3" t="n">
        <f aca="false">IFERROR(__xludf.dummyfunction("""COMPUTED_VALUE"""),4)</f>
        <v>4</v>
      </c>
      <c r="N31" s="3"/>
      <c r="O31" s="3"/>
      <c r="P31" s="4" t="n">
        <f aca="false">IFERROR(__xludf.dummyfunction("""COMPUTED_VALUE"""),12.5)</f>
        <v>12.5</v>
      </c>
      <c r="Q31" s="3" t="n">
        <f aca="false">IFERROR(__xludf.dummyfunction("""COMPUTED_VALUE"""),4)</f>
        <v>4</v>
      </c>
      <c r="R31" s="3"/>
      <c r="S31" s="3"/>
      <c r="T31" s="4" t="n">
        <f aca="false">IFERROR(__xludf.dummyfunction("""COMPUTED_VALUE"""),12.8)</f>
        <v>12.8</v>
      </c>
      <c r="U31" s="3" t="n">
        <f aca="false">IFERROR(__xludf.dummyfunction("""COMPUTED_VALUE"""),4)</f>
        <v>4</v>
      </c>
      <c r="V31" s="3"/>
      <c r="W31" s="3"/>
      <c r="X31" s="4" t="n">
        <f aca="false">IFERROR(__xludf.dummyfunction("""COMPUTED_VALUE"""),10.8)</f>
        <v>10.8</v>
      </c>
      <c r="Y31" s="3" t="n">
        <f aca="false">IFERROR(__xludf.dummyfunction("""COMPUTED_VALUE"""),3.5)</f>
        <v>3.5</v>
      </c>
      <c r="Z31" s="3"/>
      <c r="AA31" s="3"/>
      <c r="AB31" s="4" t="n">
        <f aca="false">IFERROR(__xludf.dummyfunction("""COMPUTED_VALUE"""),10.8)</f>
        <v>10.8</v>
      </c>
      <c r="AC31" s="4" t="n">
        <f aca="false">IFERROR(__xludf.dummyfunction("""COMPUTED_VALUE"""),60.2)</f>
        <v>60.2</v>
      </c>
      <c r="AD31" s="3" t="n">
        <f aca="false">IFERROR(__xludf.dummyfunction("""COMPUTED_VALUE"""),10)</f>
        <v>10</v>
      </c>
    </row>
    <row r="32" customFormat="false" ht="15.75" hidden="false" customHeight="false" outlineLevel="0" collapsed="false">
      <c r="A32" s="3" t="n">
        <f aca="false">IFERROR(__xludf.dummyfunction("""COMPUTED_VALUE"""),5)</f>
        <v>5</v>
      </c>
      <c r="B32" s="3" t="str">
        <f aca="false">IFERROR(__xludf.dummyfunction("""COMPUTED_VALUE"""),"Xena")</f>
        <v>Xena</v>
      </c>
      <c r="C32" s="3" t="str">
        <f aca="false">IFERROR(__xludf.dummyfunction("""COMPUTED_VALUE"""),"Ibbetson")</f>
        <v>Ibbetson</v>
      </c>
      <c r="D32" s="3" t="str">
        <f aca="false">IFERROR(__xludf.dummyfunction("""COMPUTED_VALUE"""),"BAS GC")</f>
        <v>BAS GC</v>
      </c>
      <c r="E32" s="3" t="str">
        <f aca="false">IFERROR(__xludf.dummyfunction("""COMPUTED_VALUE"""),"Grade 6")</f>
        <v>Grade 6</v>
      </c>
      <c r="F32" s="3" t="n">
        <f aca="false">IFERROR(__xludf.dummyfunction("""COMPUTED_VALUE"""),4)</f>
        <v>4</v>
      </c>
      <c r="G32" s="3"/>
      <c r="H32" s="3"/>
      <c r="I32" s="3" t="n">
        <f aca="false">IFERROR(__xludf.dummyfunction("""COMPUTED_VALUE"""),4)</f>
        <v>4</v>
      </c>
      <c r="J32" s="3"/>
      <c r="K32" s="3"/>
      <c r="L32" s="4" t="n">
        <f aca="false">IFERROR(__xludf.dummyfunction("""COMPUTED_VALUE"""),12.9)</f>
        <v>12.9</v>
      </c>
      <c r="M32" s="3" t="n">
        <f aca="false">IFERROR(__xludf.dummyfunction("""COMPUTED_VALUE"""),4)</f>
        <v>4</v>
      </c>
      <c r="N32" s="3"/>
      <c r="O32" s="3"/>
      <c r="P32" s="4" t="n">
        <f aca="false">IFERROR(__xludf.dummyfunction("""COMPUTED_VALUE"""),12.75)</f>
        <v>12.75</v>
      </c>
      <c r="Q32" s="3" t="n">
        <f aca="false">IFERROR(__xludf.dummyfunction("""COMPUTED_VALUE"""),4)</f>
        <v>4</v>
      </c>
      <c r="R32" s="3"/>
      <c r="S32" s="3"/>
      <c r="T32" s="4" t="n">
        <f aca="false">IFERROR(__xludf.dummyfunction("""COMPUTED_VALUE"""),12.3)</f>
        <v>12.3</v>
      </c>
      <c r="U32" s="3" t="n">
        <f aca="false">IFERROR(__xludf.dummyfunction("""COMPUTED_VALUE"""),4)</f>
        <v>4</v>
      </c>
      <c r="V32" s="3"/>
      <c r="W32" s="3"/>
      <c r="X32" s="4" t="n">
        <f aca="false">IFERROR(__xludf.dummyfunction("""COMPUTED_VALUE"""),11.65)</f>
        <v>11.65</v>
      </c>
      <c r="Y32" s="3" t="n">
        <f aca="false">IFERROR(__xludf.dummyfunction("""COMPUTED_VALUE"""),3)</f>
        <v>3</v>
      </c>
      <c r="Z32" s="3"/>
      <c r="AA32" s="3"/>
      <c r="AB32" s="4" t="n">
        <f aca="false">IFERROR(__xludf.dummyfunction("""COMPUTED_VALUE"""),12.45)</f>
        <v>12.45</v>
      </c>
      <c r="AC32" s="4" t="n">
        <f aca="false">IFERROR(__xludf.dummyfunction("""COMPUTED_VALUE"""),62.05)</f>
        <v>62.05</v>
      </c>
      <c r="AD32" s="3" t="n">
        <f aca="false">IFERROR(__xludf.dummyfunction("""COMPUTED_VALUE"""),7)</f>
        <v>7</v>
      </c>
    </row>
    <row r="33" customFormat="false" ht="15.75" hidden="false" customHeight="false" outlineLevel="0" collapsed="false">
      <c r="A33" s="3" t="n">
        <f aca="false">IFERROR(__xludf.dummyfunction("""COMPUTED_VALUE"""),6)</f>
        <v>6</v>
      </c>
      <c r="B33" s="3" t="str">
        <f aca="false">IFERROR(__xludf.dummyfunction("""COMPUTED_VALUE"""),"Aliza")</f>
        <v>Aliza</v>
      </c>
      <c r="C33" s="3" t="str">
        <f aca="false">IFERROR(__xludf.dummyfunction("""COMPUTED_VALUE"""),"Ward")</f>
        <v>Ward</v>
      </c>
      <c r="D33" s="3" t="str">
        <f aca="false">IFERROR(__xludf.dummyfunction("""COMPUTED_VALUE"""),"HART GC")</f>
        <v>HART GC</v>
      </c>
      <c r="E33" s="3" t="str">
        <f aca="false">IFERROR(__xludf.dummyfunction("""COMPUTED_VALUE"""),"Grade 6")</f>
        <v>Grade 6</v>
      </c>
      <c r="F33" s="3" t="n">
        <f aca="false">IFERROR(__xludf.dummyfunction("""COMPUTED_VALUE"""),4)</f>
        <v>4</v>
      </c>
      <c r="G33" s="3"/>
      <c r="H33" s="3"/>
      <c r="I33" s="3" t="n">
        <f aca="false">IFERROR(__xludf.dummyfunction("""COMPUTED_VALUE"""),4)</f>
        <v>4</v>
      </c>
      <c r="J33" s="3"/>
      <c r="K33" s="3"/>
      <c r="L33" s="4" t="n">
        <f aca="false">IFERROR(__xludf.dummyfunction("""COMPUTED_VALUE"""),12.55)</f>
        <v>12.55</v>
      </c>
      <c r="M33" s="3" t="n">
        <f aca="false">IFERROR(__xludf.dummyfunction("""COMPUTED_VALUE"""),4)</f>
        <v>4</v>
      </c>
      <c r="N33" s="3"/>
      <c r="O33" s="3"/>
      <c r="P33" s="4" t="n">
        <f aca="false">IFERROR(__xludf.dummyfunction("""COMPUTED_VALUE"""),10.65)</f>
        <v>10.65</v>
      </c>
      <c r="Q33" s="3" t="n">
        <f aca="false">IFERROR(__xludf.dummyfunction("""COMPUTED_VALUE"""),4)</f>
        <v>4</v>
      </c>
      <c r="R33" s="3"/>
      <c r="S33" s="3"/>
      <c r="T33" s="4" t="n">
        <f aca="false">IFERROR(__xludf.dummyfunction("""COMPUTED_VALUE"""),11.1)</f>
        <v>11.1</v>
      </c>
      <c r="U33" s="3" t="n">
        <f aca="false">IFERROR(__xludf.dummyfunction("""COMPUTED_VALUE"""),4)</f>
        <v>4</v>
      </c>
      <c r="V33" s="3"/>
      <c r="W33" s="3"/>
      <c r="X33" s="4" t="n">
        <f aca="false">IFERROR(__xludf.dummyfunction("""COMPUTED_VALUE"""),9.95)</f>
        <v>9.95</v>
      </c>
      <c r="Y33" s="3" t="n">
        <f aca="false">IFERROR(__xludf.dummyfunction("""COMPUTED_VALUE"""),1.5)</f>
        <v>1.5</v>
      </c>
      <c r="Z33" s="3"/>
      <c r="AA33" s="3"/>
      <c r="AB33" s="4" t="n">
        <f aca="false">IFERROR(__xludf.dummyfunction("""COMPUTED_VALUE"""),7.8)</f>
        <v>7.8</v>
      </c>
      <c r="AC33" s="4" t="n">
        <f aca="false">IFERROR(__xludf.dummyfunction("""COMPUTED_VALUE"""),52.05)</f>
        <v>52.05</v>
      </c>
      <c r="AD33" s="3" t="n">
        <f aca="false">IFERROR(__xludf.dummyfunction("""COMPUTED_VALUE"""),35)</f>
        <v>35</v>
      </c>
    </row>
    <row r="34" customFormat="false" ht="15.75" hidden="false" customHeight="false" outlineLevel="0" collapsed="false">
      <c r="A34" s="3" t="n">
        <f aca="false">IFERROR(__xludf.dummyfunction("""COMPUTED_VALUE"""),7)</f>
        <v>7</v>
      </c>
      <c r="B34" s="3" t="str">
        <f aca="false">IFERROR(__xludf.dummyfunction("""COMPUTED_VALUE"""),"Hallie")</f>
        <v>Hallie</v>
      </c>
      <c r="C34" s="3" t="str">
        <f aca="false">IFERROR(__xludf.dummyfunction("""COMPUTED_VALUE"""),"Haskins")</f>
        <v>Haskins</v>
      </c>
      <c r="D34" s="3" t="str">
        <f aca="false">IFERROR(__xludf.dummyfunction("""COMPUTED_VALUE"""),"HART GC")</f>
        <v>HART GC</v>
      </c>
      <c r="E34" s="3" t="str">
        <f aca="false">IFERROR(__xludf.dummyfunction("""COMPUTED_VALUE"""),"Grade 6")</f>
        <v>Grade 6</v>
      </c>
      <c r="F34" s="3" t="n">
        <f aca="false">IFERROR(__xludf.dummyfunction("""COMPUTED_VALUE"""),4)</f>
        <v>4</v>
      </c>
      <c r="G34" s="3"/>
      <c r="H34" s="3"/>
      <c r="I34" s="3" t="n">
        <f aca="false">IFERROR(__xludf.dummyfunction("""COMPUTED_VALUE"""),4)</f>
        <v>4</v>
      </c>
      <c r="J34" s="3"/>
      <c r="K34" s="3"/>
      <c r="L34" s="4" t="n">
        <f aca="false">IFERROR(__xludf.dummyfunction("""COMPUTED_VALUE"""),11.8)</f>
        <v>11.8</v>
      </c>
      <c r="M34" s="3" t="n">
        <f aca="false">IFERROR(__xludf.dummyfunction("""COMPUTED_VALUE"""),4)</f>
        <v>4</v>
      </c>
      <c r="N34" s="3"/>
      <c r="O34" s="3"/>
      <c r="P34" s="4" t="n">
        <f aca="false">IFERROR(__xludf.dummyfunction("""COMPUTED_VALUE"""),10.45)</f>
        <v>10.45</v>
      </c>
      <c r="Q34" s="3" t="n">
        <f aca="false">IFERROR(__xludf.dummyfunction("""COMPUTED_VALUE"""),4)</f>
        <v>4</v>
      </c>
      <c r="R34" s="3"/>
      <c r="S34" s="3"/>
      <c r="T34" s="4" t="n">
        <f aca="false">IFERROR(__xludf.dummyfunction("""COMPUTED_VALUE"""),11.7)</f>
        <v>11.7</v>
      </c>
      <c r="U34" s="3" t="n">
        <f aca="false">IFERROR(__xludf.dummyfunction("""COMPUTED_VALUE"""),4)</f>
        <v>4</v>
      </c>
      <c r="V34" s="3"/>
      <c r="W34" s="3"/>
      <c r="X34" s="4" t="n">
        <f aca="false">IFERROR(__xludf.dummyfunction("""COMPUTED_VALUE"""),9.05)</f>
        <v>9.05</v>
      </c>
      <c r="Y34" s="3" t="n">
        <f aca="false">IFERROR(__xludf.dummyfunction("""COMPUTED_VALUE"""),2)</f>
        <v>2</v>
      </c>
      <c r="Z34" s="3"/>
      <c r="AA34" s="3"/>
      <c r="AB34" s="4" t="n">
        <f aca="false">IFERROR(__xludf.dummyfunction("""COMPUTED_VALUE"""),9.7)</f>
        <v>9.7</v>
      </c>
      <c r="AC34" s="4" t="n">
        <f aca="false">IFERROR(__xludf.dummyfunction("""COMPUTED_VALUE"""),52.7)</f>
        <v>52.7</v>
      </c>
      <c r="AD34" s="3" t="n">
        <f aca="false">IFERROR(__xludf.dummyfunction("""COMPUTED_VALUE"""),31)</f>
        <v>31</v>
      </c>
    </row>
    <row r="35" customFormat="false" ht="15.75" hidden="false" customHeight="false" outlineLevel="0" collapsed="false">
      <c r="A35" s="3" t="n">
        <f aca="false">IFERROR(__xludf.dummyfunction("""COMPUTED_VALUE"""),8)</f>
        <v>8</v>
      </c>
      <c r="B35" s="3" t="str">
        <f aca="false">IFERROR(__xludf.dummyfunction("""COMPUTED_VALUE"""),"Amelie")</f>
        <v>Amelie</v>
      </c>
      <c r="C35" s="3" t="str">
        <f aca="false">IFERROR(__xludf.dummyfunction("""COMPUTED_VALUE"""),"Macadam")</f>
        <v>Macadam</v>
      </c>
      <c r="D35" s="3" t="str">
        <f aca="false">IFERROR(__xludf.dummyfunction("""COMPUTED_VALUE"""),"HART GC")</f>
        <v>HART GC</v>
      </c>
      <c r="E35" s="3" t="str">
        <f aca="false">IFERROR(__xludf.dummyfunction("""COMPUTED_VALUE"""),"Grade 6")</f>
        <v>Grade 6</v>
      </c>
      <c r="F35" s="3" t="n">
        <f aca="false">IFERROR(__xludf.dummyfunction("""COMPUTED_VALUE"""),4)</f>
        <v>4</v>
      </c>
      <c r="G35" s="3"/>
      <c r="H35" s="3"/>
      <c r="I35" s="3" t="n">
        <f aca="false">IFERROR(__xludf.dummyfunction("""COMPUTED_VALUE"""),4)</f>
        <v>4</v>
      </c>
      <c r="J35" s="3"/>
      <c r="K35" s="3"/>
      <c r="L35" s="4" t="n">
        <f aca="false">IFERROR(__xludf.dummyfunction("""COMPUTED_VALUE"""),12.25)</f>
        <v>12.25</v>
      </c>
      <c r="M35" s="3" t="n">
        <f aca="false">IFERROR(__xludf.dummyfunction("""COMPUTED_VALUE"""),4)</f>
        <v>4</v>
      </c>
      <c r="N35" s="3"/>
      <c r="O35" s="3"/>
      <c r="P35" s="4" t="n">
        <f aca="false">IFERROR(__xludf.dummyfunction("""COMPUTED_VALUE"""),11.35)</f>
        <v>11.35</v>
      </c>
      <c r="Q35" s="3" t="n">
        <f aca="false">IFERROR(__xludf.dummyfunction("""COMPUTED_VALUE"""),4)</f>
        <v>4</v>
      </c>
      <c r="R35" s="3"/>
      <c r="S35" s="3"/>
      <c r="T35" s="4" t="n">
        <f aca="false">IFERROR(__xludf.dummyfunction("""COMPUTED_VALUE"""),11.9)</f>
        <v>11.9</v>
      </c>
      <c r="U35" s="3" t="n">
        <f aca="false">IFERROR(__xludf.dummyfunction("""COMPUTED_VALUE"""),4)</f>
        <v>4</v>
      </c>
      <c r="V35" s="3"/>
      <c r="W35" s="3"/>
      <c r="X35" s="4" t="n">
        <f aca="false">IFERROR(__xludf.dummyfunction("""COMPUTED_VALUE"""),10.1)</f>
        <v>10.1</v>
      </c>
      <c r="Y35" s="3" t="n">
        <f aca="false">IFERROR(__xludf.dummyfunction("""COMPUTED_VALUE"""),3)</f>
        <v>3</v>
      </c>
      <c r="Z35" s="3"/>
      <c r="AA35" s="3"/>
      <c r="AB35" s="4" t="n">
        <f aca="false">IFERROR(__xludf.dummyfunction("""COMPUTED_VALUE"""),10.45)</f>
        <v>10.45</v>
      </c>
      <c r="AC35" s="4" t="n">
        <f aca="false">IFERROR(__xludf.dummyfunction("""COMPUTED_VALUE"""),56.05)</f>
        <v>56.05</v>
      </c>
      <c r="AD35" s="3" t="n">
        <f aca="false">IFERROR(__xludf.dummyfunction("""COMPUTED_VALUE"""),21)</f>
        <v>21</v>
      </c>
    </row>
    <row r="36" customFormat="false" ht="15.75" hidden="false" customHeight="false" outlineLevel="0" collapsed="false">
      <c r="A36" s="3" t="n">
        <f aca="false">IFERROR(__xludf.dummyfunction("""COMPUTED_VALUE"""),9)</f>
        <v>9</v>
      </c>
      <c r="B36" s="3" t="str">
        <f aca="false">IFERROR(__xludf.dummyfunction("""COMPUTED_VALUE"""),"Bethan")</f>
        <v>Bethan</v>
      </c>
      <c r="C36" s="3" t="str">
        <f aca="false">IFERROR(__xludf.dummyfunction("""COMPUTED_VALUE"""),"Snelling")</f>
        <v>Snelling</v>
      </c>
      <c r="D36" s="3" t="str">
        <f aca="false">IFERROR(__xludf.dummyfunction("""COMPUTED_VALUE"""),"HART GC")</f>
        <v>HART GC</v>
      </c>
      <c r="E36" s="3" t="str">
        <f aca="false">IFERROR(__xludf.dummyfunction("""COMPUTED_VALUE"""),"Grade 6")</f>
        <v>Grade 6</v>
      </c>
      <c r="F36" s="3" t="n">
        <f aca="false">IFERROR(__xludf.dummyfunction("""COMPUTED_VALUE"""),4)</f>
        <v>4</v>
      </c>
      <c r="G36" s="3"/>
      <c r="H36" s="3"/>
      <c r="I36" s="3" t="n">
        <f aca="false">IFERROR(__xludf.dummyfunction("""COMPUTED_VALUE"""),4)</f>
        <v>4</v>
      </c>
      <c r="J36" s="3"/>
      <c r="K36" s="3"/>
      <c r="L36" s="4" t="n">
        <f aca="false">IFERROR(__xludf.dummyfunction("""COMPUTED_VALUE"""),11.65)</f>
        <v>11.65</v>
      </c>
      <c r="M36" s="3" t="n">
        <f aca="false">IFERROR(__xludf.dummyfunction("""COMPUTED_VALUE"""),4)</f>
        <v>4</v>
      </c>
      <c r="N36" s="3"/>
      <c r="O36" s="3"/>
      <c r="P36" s="4" t="n">
        <f aca="false">IFERROR(__xludf.dummyfunction("""COMPUTED_VALUE"""),10.55)</f>
        <v>10.55</v>
      </c>
      <c r="Q36" s="3" t="n">
        <f aca="false">IFERROR(__xludf.dummyfunction("""COMPUTED_VALUE"""),4)</f>
        <v>4</v>
      </c>
      <c r="R36" s="3"/>
      <c r="S36" s="3"/>
      <c r="T36" s="4" t="n">
        <f aca="false">IFERROR(__xludf.dummyfunction("""COMPUTED_VALUE"""),11.2)</f>
        <v>11.2</v>
      </c>
      <c r="U36" s="3" t="n">
        <f aca="false">IFERROR(__xludf.dummyfunction("""COMPUTED_VALUE"""),4)</f>
        <v>4</v>
      </c>
      <c r="V36" s="3"/>
      <c r="W36" s="3"/>
      <c r="X36" s="4" t="n">
        <f aca="false">IFERROR(__xludf.dummyfunction("""COMPUTED_VALUE"""),10.35)</f>
        <v>10.35</v>
      </c>
      <c r="Y36" s="3" t="n">
        <f aca="false">IFERROR(__xludf.dummyfunction("""COMPUTED_VALUE"""),2.5)</f>
        <v>2.5</v>
      </c>
      <c r="Z36" s="3"/>
      <c r="AA36" s="3"/>
      <c r="AB36" s="4" t="n">
        <f aca="false">IFERROR(__xludf.dummyfunction("""COMPUTED_VALUE"""),9.5)</f>
        <v>9.5</v>
      </c>
      <c r="AC36" s="4" t="n">
        <f aca="false">IFERROR(__xludf.dummyfunction("""COMPUTED_VALUE"""),53.25)</f>
        <v>53.25</v>
      </c>
      <c r="AD36" s="3" t="n">
        <f aca="false">IFERROR(__xludf.dummyfunction("""COMPUTED_VALUE"""),29)</f>
        <v>29</v>
      </c>
    </row>
    <row r="37" customFormat="false" ht="15.75" hidden="false" customHeight="false" outlineLevel="0" collapsed="false">
      <c r="A37" s="3" t="n">
        <f aca="false">IFERROR(__xludf.dummyfunction("""COMPUTED_VALUE"""),10)</f>
        <v>10</v>
      </c>
      <c r="B37" s="3" t="str">
        <f aca="false">IFERROR(__xludf.dummyfunction("""COMPUTED_VALUE"""),"Rosie")</f>
        <v>Rosie</v>
      </c>
      <c r="C37" s="3" t="str">
        <f aca="false">IFERROR(__xludf.dummyfunction("""COMPUTED_VALUE"""),"Mcdougall")</f>
        <v>Mcdougall</v>
      </c>
      <c r="D37" s="3" t="str">
        <f aca="false">IFERROR(__xludf.dummyfunction("""COMPUTED_VALUE"""),"HART GC")</f>
        <v>HART GC</v>
      </c>
      <c r="E37" s="3" t="str">
        <f aca="false">IFERROR(__xludf.dummyfunction("""COMPUTED_VALUE"""),"Grade 6")</f>
        <v>Grade 6</v>
      </c>
      <c r="F37" s="3" t="n">
        <f aca="false">IFERROR(__xludf.dummyfunction("""COMPUTED_VALUE"""),4)</f>
        <v>4</v>
      </c>
      <c r="G37" s="3"/>
      <c r="H37" s="3"/>
      <c r="I37" s="3" t="n">
        <f aca="false">IFERROR(__xludf.dummyfunction("""COMPUTED_VALUE"""),4)</f>
        <v>4</v>
      </c>
      <c r="J37" s="3"/>
      <c r="K37" s="3"/>
      <c r="L37" s="4" t="n">
        <f aca="false">IFERROR(__xludf.dummyfunction("""COMPUTED_VALUE"""),12.25)</f>
        <v>12.25</v>
      </c>
      <c r="M37" s="3" t="n">
        <f aca="false">IFERROR(__xludf.dummyfunction("""COMPUTED_VALUE"""),4)</f>
        <v>4</v>
      </c>
      <c r="N37" s="3"/>
      <c r="O37" s="3"/>
      <c r="P37" s="4" t="n">
        <f aca="false">IFERROR(__xludf.dummyfunction("""COMPUTED_VALUE"""),10)</f>
        <v>10</v>
      </c>
      <c r="Q37" s="3" t="n">
        <f aca="false">IFERROR(__xludf.dummyfunction("""COMPUTED_VALUE"""),4)</f>
        <v>4</v>
      </c>
      <c r="R37" s="3"/>
      <c r="S37" s="3"/>
      <c r="T37" s="4" t="n">
        <f aca="false">IFERROR(__xludf.dummyfunction("""COMPUTED_VALUE"""),10.9)</f>
        <v>10.9</v>
      </c>
      <c r="U37" s="3" t="n">
        <f aca="false">IFERROR(__xludf.dummyfunction("""COMPUTED_VALUE"""),3.5)</f>
        <v>3.5</v>
      </c>
      <c r="V37" s="3"/>
      <c r="W37" s="3"/>
      <c r="X37" s="4" t="n">
        <f aca="false">IFERROR(__xludf.dummyfunction("""COMPUTED_VALUE"""),9.6)</f>
        <v>9.6</v>
      </c>
      <c r="Y37" s="3" t="n">
        <f aca="false">IFERROR(__xludf.dummyfunction("""COMPUTED_VALUE"""),3)</f>
        <v>3</v>
      </c>
      <c r="Z37" s="3"/>
      <c r="AA37" s="3"/>
      <c r="AB37" s="4" t="n">
        <f aca="false">IFERROR(__xludf.dummyfunction("""COMPUTED_VALUE"""),9.75)</f>
        <v>9.75</v>
      </c>
      <c r="AC37" s="4" t="n">
        <f aca="false">IFERROR(__xludf.dummyfunction("""COMPUTED_VALUE"""),52.5)</f>
        <v>52.5</v>
      </c>
      <c r="AD37" s="3" t="n">
        <f aca="false">IFERROR(__xludf.dummyfunction("""COMPUTED_VALUE"""),33)</f>
        <v>33</v>
      </c>
    </row>
    <row r="38" customFormat="false" ht="15.75" hidden="false" customHeight="false" outlineLevel="0" collapsed="false">
      <c r="A38" s="3" t="n">
        <f aca="false">IFERROR(__xludf.dummyfunction("""COMPUTED_VALUE"""),11)</f>
        <v>11</v>
      </c>
      <c r="B38" s="3" t="str">
        <f aca="false">IFERROR(__xludf.dummyfunction("""COMPUTED_VALUE"""),"Isabelle")</f>
        <v>Isabelle</v>
      </c>
      <c r="C38" s="3" t="str">
        <f aca="false">IFERROR(__xludf.dummyfunction("""COMPUTED_VALUE"""),"Watson")</f>
        <v>Watson</v>
      </c>
      <c r="D38" s="3" t="str">
        <f aca="false">IFERROR(__xludf.dummyfunction("""COMPUTED_VALUE"""),"XCEL")</f>
        <v>XCEL</v>
      </c>
      <c r="E38" s="3" t="str">
        <f aca="false">IFERROR(__xludf.dummyfunction("""COMPUTED_VALUE"""),"Grade 6")</f>
        <v>Grade 6</v>
      </c>
      <c r="F38" s="3" t="n">
        <f aca="false">IFERROR(__xludf.dummyfunction("""COMPUTED_VALUE"""),4)</f>
        <v>4</v>
      </c>
      <c r="G38" s="3"/>
      <c r="H38" s="3"/>
      <c r="I38" s="3" t="n">
        <f aca="false">IFERROR(__xludf.dummyfunction("""COMPUTED_VALUE"""),4)</f>
        <v>4</v>
      </c>
      <c r="J38" s="3"/>
      <c r="K38" s="3"/>
      <c r="L38" s="4" t="n">
        <f aca="false">IFERROR(__xludf.dummyfunction("""COMPUTED_VALUE"""),12.5)</f>
        <v>12.5</v>
      </c>
      <c r="M38" s="3" t="n">
        <f aca="false">IFERROR(__xludf.dummyfunction("""COMPUTED_VALUE"""),4)</f>
        <v>4</v>
      </c>
      <c r="N38" s="3"/>
      <c r="O38" s="3"/>
      <c r="P38" s="4" t="n">
        <f aca="false">IFERROR(__xludf.dummyfunction("""COMPUTED_VALUE"""),12.6)</f>
        <v>12.6</v>
      </c>
      <c r="Q38" s="3" t="n">
        <f aca="false">IFERROR(__xludf.dummyfunction("""COMPUTED_VALUE"""),4)</f>
        <v>4</v>
      </c>
      <c r="R38" s="3"/>
      <c r="S38" s="3"/>
      <c r="T38" s="4" t="n">
        <f aca="false">IFERROR(__xludf.dummyfunction("""COMPUTED_VALUE"""),11.7)</f>
        <v>11.7</v>
      </c>
      <c r="U38" s="3" t="n">
        <f aca="false">IFERROR(__xludf.dummyfunction("""COMPUTED_VALUE"""),4)</f>
        <v>4</v>
      </c>
      <c r="V38" s="3"/>
      <c r="W38" s="3" t="n">
        <f aca="false">IFERROR(__xludf.dummyfunction("""COMPUTED_VALUE"""),0.3)</f>
        <v>0.3</v>
      </c>
      <c r="X38" s="4" t="n">
        <f aca="false">IFERROR(__xludf.dummyfunction("""COMPUTED_VALUE"""),9.85)</f>
        <v>9.85</v>
      </c>
      <c r="Y38" s="3" t="n">
        <f aca="false">IFERROR(__xludf.dummyfunction("""COMPUTED_VALUE"""),3)</f>
        <v>3</v>
      </c>
      <c r="Z38" s="3"/>
      <c r="AA38" s="3"/>
      <c r="AB38" s="4" t="n">
        <f aca="false">IFERROR(__xludf.dummyfunction("""COMPUTED_VALUE"""),10.2)</f>
        <v>10.2</v>
      </c>
      <c r="AC38" s="4" t="n">
        <f aca="false">IFERROR(__xludf.dummyfunction("""COMPUTED_VALUE"""),56.85)</f>
        <v>56.85</v>
      </c>
      <c r="AD38" s="3" t="n">
        <f aca="false">IFERROR(__xludf.dummyfunction("""COMPUTED_VALUE"""),18)</f>
        <v>18</v>
      </c>
    </row>
    <row r="39" customFormat="false" ht="15.75" hidden="false" customHeight="false" outlineLevel="0" collapsed="false">
      <c r="A39" s="3" t="n">
        <f aca="false">IFERROR(__xludf.dummyfunction("""COMPUTED_VALUE"""),12)</f>
        <v>12</v>
      </c>
      <c r="B39" s="3" t="str">
        <f aca="false">IFERROR(__xludf.dummyfunction("""COMPUTED_VALUE"""),"Isla")</f>
        <v>Isla</v>
      </c>
      <c r="C39" s="3" t="str">
        <f aca="false">IFERROR(__xludf.dummyfunction("""COMPUTED_VALUE"""),"Rabbetts")</f>
        <v>Rabbetts</v>
      </c>
      <c r="D39" s="3" t="str">
        <f aca="false">IFERROR(__xludf.dummyfunction("""COMPUTED_VALUE"""),"XCEL")</f>
        <v>XCEL</v>
      </c>
      <c r="E39" s="3" t="str">
        <f aca="false">IFERROR(__xludf.dummyfunction("""COMPUTED_VALUE"""),"Grade 6")</f>
        <v>Grade 6</v>
      </c>
      <c r="F39" s="3" t="n">
        <f aca="false">IFERROR(__xludf.dummyfunction("""COMPUTED_VALUE"""),4)</f>
        <v>4</v>
      </c>
      <c r="G39" s="3"/>
      <c r="H39" s="3"/>
      <c r="I39" s="3" t="n">
        <f aca="false">IFERROR(__xludf.dummyfunction("""COMPUTED_VALUE"""),4)</f>
        <v>4</v>
      </c>
      <c r="J39" s="3"/>
      <c r="K39" s="3"/>
      <c r="L39" s="4" t="n">
        <f aca="false">IFERROR(__xludf.dummyfunction("""COMPUTED_VALUE"""),12.8)</f>
        <v>12.8</v>
      </c>
      <c r="M39" s="3" t="n">
        <f aca="false">IFERROR(__xludf.dummyfunction("""COMPUTED_VALUE"""),4)</f>
        <v>4</v>
      </c>
      <c r="N39" s="3"/>
      <c r="O39" s="3"/>
      <c r="P39" s="4" t="n">
        <f aca="false">IFERROR(__xludf.dummyfunction("""COMPUTED_VALUE"""),11.9)</f>
        <v>11.9</v>
      </c>
      <c r="Q39" s="3" t="n">
        <f aca="false">IFERROR(__xludf.dummyfunction("""COMPUTED_VALUE"""),3.5)</f>
        <v>3.5</v>
      </c>
      <c r="R39" s="3"/>
      <c r="S39" s="3" t="n">
        <f aca="false">IFERROR(__xludf.dummyfunction("""COMPUTED_VALUE"""),2)</f>
        <v>2</v>
      </c>
      <c r="T39" s="4" t="n">
        <f aca="false">IFERROR(__xludf.dummyfunction("""COMPUTED_VALUE"""),9.6)</f>
        <v>9.6</v>
      </c>
      <c r="U39" s="3" t="n">
        <f aca="false">IFERROR(__xludf.dummyfunction("""COMPUTED_VALUE"""),4)</f>
        <v>4</v>
      </c>
      <c r="V39" s="3"/>
      <c r="W39" s="3"/>
      <c r="X39" s="4" t="n">
        <f aca="false">IFERROR(__xludf.dummyfunction("""COMPUTED_VALUE"""),9.7)</f>
        <v>9.7</v>
      </c>
      <c r="Y39" s="3" t="n">
        <f aca="false">IFERROR(__xludf.dummyfunction("""COMPUTED_VALUE"""),3.5)</f>
        <v>3.5</v>
      </c>
      <c r="Z39" s="3"/>
      <c r="AA39" s="3"/>
      <c r="AB39" s="4" t="n">
        <f aca="false">IFERROR(__xludf.dummyfunction("""COMPUTED_VALUE"""),10.5)</f>
        <v>10.5</v>
      </c>
      <c r="AC39" s="4" t="n">
        <f aca="false">IFERROR(__xludf.dummyfunction("""COMPUTED_VALUE"""),54.5)</f>
        <v>54.5</v>
      </c>
      <c r="AD39" s="3" t="n">
        <f aca="false">IFERROR(__xludf.dummyfunction("""COMPUTED_VALUE"""),23)</f>
        <v>23</v>
      </c>
    </row>
    <row r="40" customFormat="false" ht="15.75" hidden="false" customHeight="false" outlineLevel="0" collapsed="false">
      <c r="A40" s="3" t="n">
        <f aca="false">IFERROR(__xludf.dummyfunction("""COMPUTED_VALUE"""),13)</f>
        <v>13</v>
      </c>
      <c r="B40" s="3" t="str">
        <f aca="false">IFERROR(__xludf.dummyfunction("""COMPUTED_VALUE"""),"Madeleine")</f>
        <v>Madeleine</v>
      </c>
      <c r="C40" s="3" t="str">
        <f aca="false">IFERROR(__xludf.dummyfunction("""COMPUTED_VALUE"""),"Parker")</f>
        <v>Parker</v>
      </c>
      <c r="D40" s="3" t="str">
        <f aca="false">IFERROR(__xludf.dummyfunction("""COMPUTED_VALUE"""),"XCEL")</f>
        <v>XCEL</v>
      </c>
      <c r="E40" s="3" t="str">
        <f aca="false">IFERROR(__xludf.dummyfunction("""COMPUTED_VALUE"""),"Grade 6")</f>
        <v>Grade 6</v>
      </c>
      <c r="F40" s="3" t="n">
        <f aca="false">IFERROR(__xludf.dummyfunction("""COMPUTED_VALUE"""),4)</f>
        <v>4</v>
      </c>
      <c r="G40" s="3"/>
      <c r="H40" s="3"/>
      <c r="I40" s="3" t="n">
        <f aca="false">IFERROR(__xludf.dummyfunction("""COMPUTED_VALUE"""),4)</f>
        <v>4</v>
      </c>
      <c r="J40" s="3"/>
      <c r="K40" s="3"/>
      <c r="L40" s="4" t="n">
        <f aca="false">IFERROR(__xludf.dummyfunction("""COMPUTED_VALUE"""),12.8)</f>
        <v>12.8</v>
      </c>
      <c r="M40" s="3" t="n">
        <f aca="false">IFERROR(__xludf.dummyfunction("""COMPUTED_VALUE"""),4)</f>
        <v>4</v>
      </c>
      <c r="N40" s="3"/>
      <c r="O40" s="3"/>
      <c r="P40" s="4" t="n">
        <f aca="false">IFERROR(__xludf.dummyfunction("""COMPUTED_VALUE"""),12.55)</f>
        <v>12.55</v>
      </c>
      <c r="Q40" s="3" t="n">
        <f aca="false">IFERROR(__xludf.dummyfunction("""COMPUTED_VALUE"""),4)</f>
        <v>4</v>
      </c>
      <c r="R40" s="3"/>
      <c r="S40" s="3"/>
      <c r="T40" s="4" t="n">
        <f aca="false">IFERROR(__xludf.dummyfunction("""COMPUTED_VALUE"""),12.2)</f>
        <v>12.2</v>
      </c>
      <c r="U40" s="3" t="n">
        <f aca="false">IFERROR(__xludf.dummyfunction("""COMPUTED_VALUE"""),4)</f>
        <v>4</v>
      </c>
      <c r="V40" s="3"/>
      <c r="W40" s="3"/>
      <c r="X40" s="4" t="n">
        <f aca="false">IFERROR(__xludf.dummyfunction("""COMPUTED_VALUE"""),9.75)</f>
        <v>9.75</v>
      </c>
      <c r="Y40" s="3" t="n">
        <f aca="false">IFERROR(__xludf.dummyfunction("""COMPUTED_VALUE"""),4)</f>
        <v>4</v>
      </c>
      <c r="Z40" s="3"/>
      <c r="AA40" s="3"/>
      <c r="AB40" s="4" t="n">
        <f aca="false">IFERROR(__xludf.dummyfunction("""COMPUTED_VALUE"""),11.5)</f>
        <v>11.5</v>
      </c>
      <c r="AC40" s="4" t="n">
        <f aca="false">IFERROR(__xludf.dummyfunction("""COMPUTED_VALUE"""),58.8)</f>
        <v>58.8</v>
      </c>
      <c r="AD40" s="3" t="n">
        <f aca="false">IFERROR(__xludf.dummyfunction("""COMPUTED_VALUE"""),14)</f>
        <v>14</v>
      </c>
    </row>
    <row r="41" customFormat="false" ht="15.75" hidden="false" customHeight="false" outlineLevel="0" collapsed="false">
      <c r="A41" s="3" t="n">
        <f aca="false">IFERROR(__xludf.dummyfunction("""COMPUTED_VALUE"""),14)</f>
        <v>14</v>
      </c>
      <c r="B41" s="3" t="str">
        <f aca="false">IFERROR(__xludf.dummyfunction("""COMPUTED_VALUE"""),"Charlotte")</f>
        <v>Charlotte</v>
      </c>
      <c r="C41" s="3" t="str">
        <f aca="false">IFERROR(__xludf.dummyfunction("""COMPUTED_VALUE"""),"Parker")</f>
        <v>Parker</v>
      </c>
      <c r="D41" s="3" t="str">
        <f aca="false">IFERROR(__xludf.dummyfunction("""COMPUTED_VALUE"""),"XCEL")</f>
        <v>XCEL</v>
      </c>
      <c r="E41" s="3" t="str">
        <f aca="false">IFERROR(__xludf.dummyfunction("""COMPUTED_VALUE"""),"Grade 6")</f>
        <v>Grade 6</v>
      </c>
      <c r="F41" s="3" t="n">
        <f aca="false">IFERROR(__xludf.dummyfunction("""COMPUTED_VALUE"""),4)</f>
        <v>4</v>
      </c>
      <c r="G41" s="3"/>
      <c r="H41" s="3"/>
      <c r="I41" s="3" t="n">
        <f aca="false">IFERROR(__xludf.dummyfunction("""COMPUTED_VALUE"""),4)</f>
        <v>4</v>
      </c>
      <c r="J41" s="3"/>
      <c r="K41" s="3"/>
      <c r="L41" s="4" t="n">
        <f aca="false">IFERROR(__xludf.dummyfunction("""COMPUTED_VALUE"""),13.1)</f>
        <v>13.1</v>
      </c>
      <c r="M41" s="3" t="n">
        <f aca="false">IFERROR(__xludf.dummyfunction("""COMPUTED_VALUE"""),4)</f>
        <v>4</v>
      </c>
      <c r="N41" s="3"/>
      <c r="O41" s="3"/>
      <c r="P41" s="4" t="n">
        <f aca="false">IFERROR(__xludf.dummyfunction("""COMPUTED_VALUE"""),12)</f>
        <v>12</v>
      </c>
      <c r="Q41" s="3" t="n">
        <f aca="false">IFERROR(__xludf.dummyfunction("""COMPUTED_VALUE"""),4)</f>
        <v>4</v>
      </c>
      <c r="R41" s="3"/>
      <c r="S41" s="3"/>
      <c r="T41" s="4" t="n">
        <f aca="false">IFERROR(__xludf.dummyfunction("""COMPUTED_VALUE"""),12.4)</f>
        <v>12.4</v>
      </c>
      <c r="U41" s="3" t="n">
        <f aca="false">IFERROR(__xludf.dummyfunction("""COMPUTED_VALUE"""),4)</f>
        <v>4</v>
      </c>
      <c r="V41" s="3"/>
      <c r="W41" s="3"/>
      <c r="X41" s="4" t="n">
        <f aca="false">IFERROR(__xludf.dummyfunction("""COMPUTED_VALUE"""),10.7)</f>
        <v>10.7</v>
      </c>
      <c r="Y41" s="3" t="n">
        <f aca="false">IFERROR(__xludf.dummyfunction("""COMPUTED_VALUE"""),3.5)</f>
        <v>3.5</v>
      </c>
      <c r="Z41" s="3"/>
      <c r="AA41" s="3"/>
      <c r="AB41" s="4" t="n">
        <f aca="false">IFERROR(__xludf.dummyfunction("""COMPUTED_VALUE"""),11.2)</f>
        <v>11.2</v>
      </c>
      <c r="AC41" s="4" t="n">
        <f aca="false">IFERROR(__xludf.dummyfunction("""COMPUTED_VALUE"""),59.4)</f>
        <v>59.4</v>
      </c>
      <c r="AD41" s="3" t="n">
        <f aca="false">IFERROR(__xludf.dummyfunction("""COMPUTED_VALUE"""),11)</f>
        <v>11</v>
      </c>
    </row>
    <row r="42" customFormat="false" ht="15.75" hidden="false" customHeight="false" outlineLevel="0" collapsed="false">
      <c r="A42" s="3" t="n">
        <f aca="false">IFERROR(__xludf.dummyfunction("""COMPUTED_VALUE"""),15)</f>
        <v>15</v>
      </c>
      <c r="B42" s="3" t="str">
        <f aca="false">IFERROR(__xludf.dummyfunction("""COMPUTED_VALUE"""),"Isla")</f>
        <v>Isla</v>
      </c>
      <c r="C42" s="3" t="str">
        <f aca="false">IFERROR(__xludf.dummyfunction("""COMPUTED_VALUE"""),"Hanmer")</f>
        <v>Hanmer</v>
      </c>
      <c r="D42" s="3" t="str">
        <f aca="false">IFERROR(__xludf.dummyfunction("""COMPUTED_VALUE"""),"WAT GC")</f>
        <v>WAT GC</v>
      </c>
      <c r="E42" s="3" t="str">
        <f aca="false">IFERROR(__xludf.dummyfunction("""COMPUTED_VALUE"""),"Grade 6")</f>
        <v>Grade 6</v>
      </c>
      <c r="F42" s="3" t="n">
        <f aca="false">IFERROR(__xludf.dummyfunction("""COMPUTED_VALUE"""),4)</f>
        <v>4</v>
      </c>
      <c r="G42" s="3"/>
      <c r="H42" s="3"/>
      <c r="I42" s="3" t="n">
        <f aca="false">IFERROR(__xludf.dummyfunction("""COMPUTED_VALUE"""),4)</f>
        <v>4</v>
      </c>
      <c r="J42" s="3"/>
      <c r="K42" s="3"/>
      <c r="L42" s="4" t="n">
        <f aca="false">IFERROR(__xludf.dummyfunction("""COMPUTED_VALUE"""),12.85)</f>
        <v>12.85</v>
      </c>
      <c r="M42" s="3" t="n">
        <f aca="false">IFERROR(__xludf.dummyfunction("""COMPUTED_VALUE"""),4)</f>
        <v>4</v>
      </c>
      <c r="N42" s="3"/>
      <c r="O42" s="3"/>
      <c r="P42" s="4" t="n">
        <f aca="false">IFERROR(__xludf.dummyfunction("""COMPUTED_VALUE"""),12.3)</f>
        <v>12.3</v>
      </c>
      <c r="Q42" s="3" t="n">
        <f aca="false">IFERROR(__xludf.dummyfunction("""COMPUTED_VALUE"""),4)</f>
        <v>4</v>
      </c>
      <c r="R42" s="3"/>
      <c r="S42" s="3"/>
      <c r="T42" s="4" t="n">
        <f aca="false">IFERROR(__xludf.dummyfunction("""COMPUTED_VALUE"""),11.9)</f>
        <v>11.9</v>
      </c>
      <c r="U42" s="3" t="n">
        <f aca="false">IFERROR(__xludf.dummyfunction("""COMPUTED_VALUE"""),4)</f>
        <v>4</v>
      </c>
      <c r="V42" s="3"/>
      <c r="W42" s="3"/>
      <c r="X42" s="4" t="n">
        <f aca="false">IFERROR(__xludf.dummyfunction("""COMPUTED_VALUE"""),10.95)</f>
        <v>10.95</v>
      </c>
      <c r="Y42" s="3" t="n">
        <f aca="false">IFERROR(__xludf.dummyfunction("""COMPUTED_VALUE"""),4)</f>
        <v>4</v>
      </c>
      <c r="Z42" s="3"/>
      <c r="AA42" s="3"/>
      <c r="AB42" s="4" t="n">
        <f aca="false">IFERROR(__xludf.dummyfunction("""COMPUTED_VALUE"""),11.1)</f>
        <v>11.1</v>
      </c>
      <c r="AC42" s="4" t="n">
        <f aca="false">IFERROR(__xludf.dummyfunction("""COMPUTED_VALUE"""),59.1)</f>
        <v>59.1</v>
      </c>
      <c r="AD42" s="3" t="n">
        <f aca="false">IFERROR(__xludf.dummyfunction("""COMPUTED_VALUE"""),12)</f>
        <v>12</v>
      </c>
    </row>
    <row r="43" customFormat="false" ht="15.75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customFormat="false" ht="15.75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customFormat="false" ht="15.75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</sheetData>
  <mergeCells count="1">
    <mergeCell ref="A1:AD1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2022-04-03T18:44:34Z</dcterms:modified>
  <cp:revision>1</cp:revision>
  <dc:subject/>
  <dc:title/>
</cp:coreProperties>
</file>